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dpna.sharepoint.com/sites/TheRez/Shared Documents/A- Khomas View Sales &amp; price list Dec 25/"/>
    </mc:Choice>
  </mc:AlternateContent>
  <xr:revisionPtr revIDLastSave="27" documentId="8_{6446D61C-ADA4-4200-A721-3AB9CF1F8EA8}" xr6:coauthVersionLast="47" xr6:coauthVersionMax="47" xr10:uidLastSave="{EC9FDD62-B043-457E-8FDC-7D94415257DA}"/>
  <bookViews>
    <workbookView xWindow="-120" yWindow="-120" windowWidth="29040" windowHeight="15720" xr2:uid="{719A691B-2C78-469A-916D-038B0E5535DD}"/>
  </bookViews>
  <sheets>
    <sheet name="DEC 25_Sales Price List  " sheetId="6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5" i="6" l="1"/>
  <c r="F35" i="6"/>
  <c r="F37" i="6" s="1"/>
  <c r="B35" i="6"/>
  <c r="C6" i="6" s="1"/>
  <c r="N6" i="6" s="1"/>
  <c r="U34" i="6"/>
  <c r="T34" i="6"/>
  <c r="L34" i="6"/>
  <c r="S33" i="6"/>
  <c r="O33" i="6"/>
  <c r="K33" i="6"/>
  <c r="M33" i="6" s="1"/>
  <c r="I33" i="6"/>
  <c r="H33" i="6"/>
  <c r="J33" i="6" s="1"/>
  <c r="G33" i="6"/>
  <c r="C33" i="6"/>
  <c r="N33" i="6" s="1"/>
  <c r="S32" i="6"/>
  <c r="O32" i="6"/>
  <c r="L32" i="6"/>
  <c r="K32" i="6"/>
  <c r="M32" i="6" s="1"/>
  <c r="I32" i="6"/>
  <c r="H32" i="6"/>
  <c r="J32" i="6" s="1"/>
  <c r="G32" i="6"/>
  <c r="C32" i="6"/>
  <c r="N32" i="6" s="1"/>
  <c r="S31" i="6"/>
  <c r="O31" i="6"/>
  <c r="L31" i="6"/>
  <c r="K31" i="6"/>
  <c r="M31" i="6" s="1"/>
  <c r="I31" i="6"/>
  <c r="H31" i="6"/>
  <c r="J31" i="6" s="1"/>
  <c r="G31" i="6"/>
  <c r="C31" i="6"/>
  <c r="N31" i="6" s="1"/>
  <c r="S30" i="6"/>
  <c r="O30" i="6"/>
  <c r="L30" i="6"/>
  <c r="K30" i="6"/>
  <c r="M30" i="6" s="1"/>
  <c r="I30" i="6"/>
  <c r="H30" i="6"/>
  <c r="J30" i="6" s="1"/>
  <c r="G30" i="6"/>
  <c r="C30" i="6"/>
  <c r="N30" i="6" s="1"/>
  <c r="S29" i="6"/>
  <c r="O29" i="6"/>
  <c r="L29" i="6"/>
  <c r="K29" i="6"/>
  <c r="M29" i="6" s="1"/>
  <c r="I29" i="6"/>
  <c r="H29" i="6"/>
  <c r="J29" i="6" s="1"/>
  <c r="G29" i="6"/>
  <c r="C29" i="6"/>
  <c r="N29" i="6" s="1"/>
  <c r="S28" i="6"/>
  <c r="O28" i="6"/>
  <c r="L28" i="6"/>
  <c r="K28" i="6"/>
  <c r="M28" i="6" s="1"/>
  <c r="I28" i="6"/>
  <c r="H28" i="6"/>
  <c r="J28" i="6" s="1"/>
  <c r="G28" i="6"/>
  <c r="C28" i="6"/>
  <c r="N28" i="6" s="1"/>
  <c r="S27" i="6"/>
  <c r="O27" i="6"/>
  <c r="M27" i="6"/>
  <c r="L27" i="6"/>
  <c r="I27" i="6"/>
  <c r="H27" i="6"/>
  <c r="J27" i="6" s="1"/>
  <c r="G27" i="6"/>
  <c r="C27" i="6"/>
  <c r="N27" i="6" s="1"/>
  <c r="S26" i="6"/>
  <c r="O26" i="6"/>
  <c r="K26" i="6"/>
  <c r="M26" i="6" s="1"/>
  <c r="I26" i="6"/>
  <c r="H26" i="6"/>
  <c r="G26" i="6"/>
  <c r="C26" i="6"/>
  <c r="N26" i="6" s="1"/>
  <c r="S25" i="6"/>
  <c r="O25" i="6"/>
  <c r="K25" i="6"/>
  <c r="M25" i="6" s="1"/>
  <c r="I25" i="6"/>
  <c r="H25" i="6"/>
  <c r="G25" i="6"/>
  <c r="C25" i="6"/>
  <c r="N25" i="6" s="1"/>
  <c r="S24" i="6"/>
  <c r="O24" i="6"/>
  <c r="K24" i="6"/>
  <c r="M24" i="6" s="1"/>
  <c r="I24" i="6"/>
  <c r="H24" i="6"/>
  <c r="G24" i="6"/>
  <c r="C24" i="6"/>
  <c r="N24" i="6" s="1"/>
  <c r="S23" i="6"/>
  <c r="O23" i="6"/>
  <c r="K23" i="6"/>
  <c r="M23" i="6" s="1"/>
  <c r="I23" i="6"/>
  <c r="H23" i="6"/>
  <c r="J23" i="6" s="1"/>
  <c r="G23" i="6"/>
  <c r="C23" i="6"/>
  <c r="N23" i="6" s="1"/>
  <c r="S22" i="6"/>
  <c r="O22" i="6"/>
  <c r="K22" i="6"/>
  <c r="M22" i="6" s="1"/>
  <c r="I22" i="6"/>
  <c r="H22" i="6"/>
  <c r="G22" i="6"/>
  <c r="C22" i="6"/>
  <c r="N22" i="6" s="1"/>
  <c r="S21" i="6"/>
  <c r="O21" i="6"/>
  <c r="K21" i="6"/>
  <c r="M21" i="6" s="1"/>
  <c r="I21" i="6"/>
  <c r="H21" i="6"/>
  <c r="G21" i="6"/>
  <c r="C21" i="6"/>
  <c r="N21" i="6" s="1"/>
  <c r="S20" i="6"/>
  <c r="O20" i="6"/>
  <c r="K20" i="6"/>
  <c r="M20" i="6" s="1"/>
  <c r="P20" i="6" s="1"/>
  <c r="Q20" i="6" s="1"/>
  <c r="R20" i="6" s="1"/>
  <c r="I20" i="6"/>
  <c r="H20" i="6"/>
  <c r="G20" i="6"/>
  <c r="C20" i="6"/>
  <c r="N20" i="6" s="1"/>
  <c r="S19" i="6"/>
  <c r="O19" i="6"/>
  <c r="K19" i="6"/>
  <c r="M19" i="6" s="1"/>
  <c r="I19" i="6"/>
  <c r="H19" i="6"/>
  <c r="G19" i="6"/>
  <c r="C19" i="6"/>
  <c r="N19" i="6" s="1"/>
  <c r="S18" i="6"/>
  <c r="O18" i="6"/>
  <c r="K18" i="6"/>
  <c r="M18" i="6" s="1"/>
  <c r="I18" i="6"/>
  <c r="H18" i="6"/>
  <c r="J18" i="6" s="1"/>
  <c r="G18" i="6"/>
  <c r="C18" i="6"/>
  <c r="N18" i="6" s="1"/>
  <c r="S17" i="6"/>
  <c r="O17" i="6"/>
  <c r="K17" i="6"/>
  <c r="M17" i="6" s="1"/>
  <c r="I17" i="6"/>
  <c r="H17" i="6"/>
  <c r="G17" i="6"/>
  <c r="C17" i="6"/>
  <c r="N17" i="6" s="1"/>
  <c r="S16" i="6"/>
  <c r="O16" i="6"/>
  <c r="M16" i="6"/>
  <c r="L16" i="6"/>
  <c r="I16" i="6"/>
  <c r="H16" i="6"/>
  <c r="G16" i="6"/>
  <c r="C16" i="6"/>
  <c r="N16" i="6" s="1"/>
  <c r="S15" i="6"/>
  <c r="O15" i="6"/>
  <c r="M15" i="6"/>
  <c r="L15" i="6"/>
  <c r="I15" i="6"/>
  <c r="H15" i="6"/>
  <c r="G15" i="6"/>
  <c r="C15" i="6"/>
  <c r="N15" i="6" s="1"/>
  <c r="S14" i="6"/>
  <c r="O14" i="6"/>
  <c r="K14" i="6"/>
  <c r="M14" i="6" s="1"/>
  <c r="I14" i="6"/>
  <c r="H14" i="6"/>
  <c r="G14" i="6"/>
  <c r="C14" i="6"/>
  <c r="N14" i="6" s="1"/>
  <c r="S13" i="6"/>
  <c r="O13" i="6"/>
  <c r="K13" i="6"/>
  <c r="M13" i="6" s="1"/>
  <c r="I13" i="6"/>
  <c r="H13" i="6"/>
  <c r="J13" i="6" s="1"/>
  <c r="G13" i="6"/>
  <c r="C13" i="6"/>
  <c r="N13" i="6" s="1"/>
  <c r="S12" i="6"/>
  <c r="O12" i="6"/>
  <c r="K12" i="6"/>
  <c r="L12" i="6" s="1"/>
  <c r="I12" i="6"/>
  <c r="H12" i="6"/>
  <c r="G12" i="6"/>
  <c r="C12" i="6"/>
  <c r="N12" i="6" s="1"/>
  <c r="S11" i="6"/>
  <c r="O11" i="6"/>
  <c r="K11" i="6"/>
  <c r="I11" i="6"/>
  <c r="H11" i="6"/>
  <c r="G11" i="6"/>
  <c r="C11" i="6"/>
  <c r="N11" i="6" s="1"/>
  <c r="U10" i="6"/>
  <c r="T10" i="6"/>
  <c r="S10" i="6"/>
  <c r="O10" i="6"/>
  <c r="M10" i="6"/>
  <c r="L10" i="6"/>
  <c r="H10" i="6"/>
  <c r="G10" i="6"/>
  <c r="C10" i="6"/>
  <c r="N10" i="6" s="1"/>
  <c r="S9" i="6"/>
  <c r="O9" i="6"/>
  <c r="M9" i="6"/>
  <c r="L9" i="6"/>
  <c r="I9" i="6"/>
  <c r="H9" i="6"/>
  <c r="G9" i="6"/>
  <c r="C9" i="6"/>
  <c r="N9" i="6" s="1"/>
  <c r="S8" i="6"/>
  <c r="O8" i="6"/>
  <c r="N8" i="6"/>
  <c r="M8" i="6"/>
  <c r="L8" i="6"/>
  <c r="I8" i="6"/>
  <c r="H8" i="6"/>
  <c r="J8" i="6" s="1"/>
  <c r="G8" i="6"/>
  <c r="S7" i="6"/>
  <c r="O7" i="6"/>
  <c r="M7" i="6"/>
  <c r="L7" i="6"/>
  <c r="I7" i="6"/>
  <c r="H7" i="6"/>
  <c r="G7" i="6"/>
  <c r="C7" i="6"/>
  <c r="N7" i="6" s="1"/>
  <c r="S6" i="6"/>
  <c r="O6" i="6"/>
  <c r="M6" i="6"/>
  <c r="L6" i="6"/>
  <c r="I6" i="6"/>
  <c r="H6" i="6"/>
  <c r="G6" i="6"/>
  <c r="S5" i="6"/>
  <c r="O5" i="6"/>
  <c r="M5" i="6"/>
  <c r="L5" i="6"/>
  <c r="I5" i="6"/>
  <c r="H5" i="6"/>
  <c r="G5" i="6"/>
  <c r="S4" i="6"/>
  <c r="O4" i="6"/>
  <c r="M4" i="6"/>
  <c r="L4" i="6"/>
  <c r="I4" i="6"/>
  <c r="H4" i="6"/>
  <c r="G4" i="6"/>
  <c r="C4" i="6"/>
  <c r="N4" i="6" s="1"/>
  <c r="S3" i="6"/>
  <c r="O3" i="6"/>
  <c r="N3" i="6"/>
  <c r="M3" i="6"/>
  <c r="L3" i="6"/>
  <c r="I3" i="6"/>
  <c r="H3" i="6"/>
  <c r="G3" i="6"/>
  <c r="G35" i="6" s="1"/>
  <c r="J3" i="6" l="1"/>
  <c r="J5" i="6"/>
  <c r="J11" i="6"/>
  <c r="P13" i="6"/>
  <c r="Q13" i="6" s="1"/>
  <c r="R13" i="6" s="1"/>
  <c r="J21" i="6"/>
  <c r="U21" i="6" s="1"/>
  <c r="P23" i="6"/>
  <c r="Q23" i="6" s="1"/>
  <c r="R23" i="6" s="1"/>
  <c r="J19" i="6"/>
  <c r="U19" i="6" s="1"/>
  <c r="P7" i="6"/>
  <c r="Q7" i="6" s="1"/>
  <c r="R7" i="6" s="1"/>
  <c r="J14" i="6"/>
  <c r="J24" i="6"/>
  <c r="L33" i="6"/>
  <c r="J6" i="6"/>
  <c r="J7" i="6"/>
  <c r="U7" i="6" s="1"/>
  <c r="P14" i="6"/>
  <c r="Q14" i="6" s="1"/>
  <c r="R14" i="6" s="1"/>
  <c r="P27" i="6"/>
  <c r="Q27" i="6" s="1"/>
  <c r="R27" i="6" s="1"/>
  <c r="J4" i="6"/>
  <c r="U4" i="6" s="1"/>
  <c r="P8" i="6"/>
  <c r="Q8" i="6" s="1"/>
  <c r="R8" i="6" s="1"/>
  <c r="J20" i="6"/>
  <c r="U20" i="6" s="1"/>
  <c r="P22" i="6"/>
  <c r="Q22" i="6" s="1"/>
  <c r="R22" i="6" s="1"/>
  <c r="P21" i="6"/>
  <c r="Q21" i="6" s="1"/>
  <c r="R21" i="6" s="1"/>
  <c r="J26" i="6"/>
  <c r="U26" i="6" s="1"/>
  <c r="P4" i="6"/>
  <c r="Q4" i="6" s="1"/>
  <c r="R4" i="6" s="1"/>
  <c r="J15" i="6"/>
  <c r="T15" i="6" s="1"/>
  <c r="J16" i="6"/>
  <c r="U16" i="6" s="1"/>
  <c r="J17" i="6"/>
  <c r="K36" i="6"/>
  <c r="O34" i="6"/>
  <c r="O36" i="6" s="1"/>
  <c r="L13" i="6"/>
  <c r="P6" i="6"/>
  <c r="Q6" i="6" s="1"/>
  <c r="R6" i="6" s="1"/>
  <c r="J9" i="6"/>
  <c r="U9" i="6" s="1"/>
  <c r="L14" i="6"/>
  <c r="J25" i="6"/>
  <c r="P16" i="6"/>
  <c r="Q16" i="6" s="1"/>
  <c r="R16" i="6" s="1"/>
  <c r="M11" i="6"/>
  <c r="P11" i="6" s="1"/>
  <c r="Q11" i="6" s="1"/>
  <c r="R11" i="6" s="1"/>
  <c r="M12" i="6"/>
  <c r="P12" i="6" s="1"/>
  <c r="Q12" i="6" s="1"/>
  <c r="R12" i="6" s="1"/>
  <c r="P15" i="6"/>
  <c r="Q15" i="6" s="1"/>
  <c r="R15" i="6" s="1"/>
  <c r="L11" i="6"/>
  <c r="C5" i="6"/>
  <c r="N5" i="6" s="1"/>
  <c r="P5" i="6" s="1"/>
  <c r="Q5" i="6" s="1"/>
  <c r="R5" i="6" s="1"/>
  <c r="P9" i="6"/>
  <c r="Q9" i="6" s="1"/>
  <c r="R9" i="6" s="1"/>
  <c r="P10" i="6"/>
  <c r="Q10" i="6" s="1"/>
  <c r="R10" i="6" s="1"/>
  <c r="P3" i="6"/>
  <c r="Q3" i="6" s="1"/>
  <c r="J12" i="6"/>
  <c r="U12" i="6" s="1"/>
  <c r="J22" i="6"/>
  <c r="T22" i="6" s="1"/>
  <c r="U5" i="6"/>
  <c r="T5" i="6"/>
  <c r="U13" i="6"/>
  <c r="T13" i="6"/>
  <c r="T6" i="6"/>
  <c r="U6" i="6"/>
  <c r="T14" i="6"/>
  <c r="U14" i="6"/>
  <c r="U8" i="6"/>
  <c r="T8" i="6"/>
  <c r="U27" i="6"/>
  <c r="T27" i="6"/>
  <c r="T28" i="6"/>
  <c r="U28" i="6"/>
  <c r="U29" i="6"/>
  <c r="T29" i="6"/>
  <c r="U30" i="6"/>
  <c r="T30" i="6"/>
  <c r="U31" i="6"/>
  <c r="T31" i="6"/>
  <c r="T32" i="6"/>
  <c r="U32" i="6"/>
  <c r="U33" i="6"/>
  <c r="T33" i="6"/>
  <c r="U18" i="6"/>
  <c r="T18" i="6"/>
  <c r="U17" i="6"/>
  <c r="T17" i="6"/>
  <c r="P19" i="6"/>
  <c r="Q19" i="6" s="1"/>
  <c r="R19" i="6" s="1"/>
  <c r="U25" i="6"/>
  <c r="T25" i="6"/>
  <c r="P28" i="6"/>
  <c r="Q28" i="6" s="1"/>
  <c r="R28" i="6" s="1"/>
  <c r="P29" i="6"/>
  <c r="Q29" i="6" s="1"/>
  <c r="R29" i="6" s="1"/>
  <c r="P30" i="6"/>
  <c r="Q30" i="6" s="1"/>
  <c r="R30" i="6" s="1"/>
  <c r="P31" i="6"/>
  <c r="Q31" i="6" s="1"/>
  <c r="R31" i="6" s="1"/>
  <c r="P32" i="6"/>
  <c r="Q32" i="6" s="1"/>
  <c r="R32" i="6" s="1"/>
  <c r="P33" i="6"/>
  <c r="Q33" i="6" s="1"/>
  <c r="R33" i="6" s="1"/>
  <c r="P18" i="6"/>
  <c r="Q18" i="6" s="1"/>
  <c r="R18" i="6" s="1"/>
  <c r="U24" i="6"/>
  <c r="T24" i="6"/>
  <c r="P26" i="6"/>
  <c r="Q26" i="6" s="1"/>
  <c r="R26" i="6" s="1"/>
  <c r="U11" i="6"/>
  <c r="T11" i="6"/>
  <c r="P17" i="6"/>
  <c r="Q17" i="6" s="1"/>
  <c r="R17" i="6" s="1"/>
  <c r="U23" i="6"/>
  <c r="T23" i="6"/>
  <c r="P25" i="6"/>
  <c r="Q25" i="6" s="1"/>
  <c r="R25" i="6" s="1"/>
  <c r="P24" i="6"/>
  <c r="Q24" i="6" s="1"/>
  <c r="R24" i="6" s="1"/>
  <c r="T3" i="6"/>
  <c r="U3" i="6"/>
  <c r="L17" i="6"/>
  <c r="L18" i="6"/>
  <c r="L19" i="6"/>
  <c r="L20" i="6"/>
  <c r="L21" i="6"/>
  <c r="L22" i="6"/>
  <c r="L23" i="6"/>
  <c r="L24" i="6"/>
  <c r="L25" i="6"/>
  <c r="L26" i="6"/>
  <c r="T16" i="6" l="1"/>
  <c r="T7" i="6"/>
  <c r="T19" i="6"/>
  <c r="T4" i="6"/>
  <c r="T21" i="6"/>
  <c r="U22" i="6"/>
  <c r="T12" i="6"/>
  <c r="T26" i="6"/>
  <c r="T20" i="6"/>
  <c r="J35" i="6"/>
  <c r="U15" i="6"/>
  <c r="N34" i="6"/>
  <c r="N36" i="6" s="1"/>
  <c r="M34" i="6"/>
  <c r="M36" i="6" s="1"/>
  <c r="T9" i="6"/>
  <c r="P34" i="6"/>
  <c r="P36" i="6" s="1"/>
  <c r="Q34" i="6"/>
  <c r="R34" i="6" s="1"/>
  <c r="R3" i="6"/>
  <c r="U35" i="6"/>
  <c r="U37" i="6" s="1"/>
  <c r="T35" i="6"/>
  <c r="T37" i="6" s="1"/>
</calcChain>
</file>

<file path=xl/sharedStrings.xml><?xml version="1.0" encoding="utf-8"?>
<sst xmlns="http://schemas.openxmlformats.org/spreadsheetml/2006/main" count="78" uniqueCount="36">
  <si>
    <t>Unit Number</t>
  </si>
  <si>
    <t xml:space="preserve">Unit </t>
  </si>
  <si>
    <t>%</t>
  </si>
  <si>
    <t>Yard</t>
  </si>
  <si>
    <t>Unit Type</t>
  </si>
  <si>
    <t>Difference</t>
  </si>
  <si>
    <t>Yard price</t>
  </si>
  <si>
    <t>Unit Price</t>
  </si>
  <si>
    <t>Total</t>
  </si>
  <si>
    <t>Commission</t>
  </si>
  <si>
    <t>Rental</t>
  </si>
  <si>
    <t>Levies</t>
  </si>
  <si>
    <t>R&amp;T</t>
  </si>
  <si>
    <t>Nett</t>
  </si>
  <si>
    <t>Annual Net</t>
  </si>
  <si>
    <t>ROI</t>
  </si>
  <si>
    <t>Rate/sqm</t>
  </si>
  <si>
    <t>Comm</t>
  </si>
  <si>
    <t>(m²)</t>
  </si>
  <si>
    <t>1450/sqm</t>
  </si>
  <si>
    <t>14400/sqm</t>
  </si>
  <si>
    <t>Price</t>
  </si>
  <si>
    <t>Income</t>
  </si>
  <si>
    <t>Approximate</t>
  </si>
  <si>
    <t>Type 2</t>
  </si>
  <si>
    <t>Type 1</t>
  </si>
  <si>
    <t>Type 4</t>
  </si>
  <si>
    <t>Type 3</t>
  </si>
  <si>
    <t>Auction</t>
  </si>
  <si>
    <t>3bed 2bath (shower only)</t>
  </si>
  <si>
    <t>3bed 2bath (with bathtub)</t>
  </si>
  <si>
    <t>2bed 1bath (shower only)</t>
  </si>
  <si>
    <t>2bed 2bath (shower only)</t>
  </si>
  <si>
    <t>STATUS</t>
  </si>
  <si>
    <t>Reserved</t>
  </si>
  <si>
    <t>Sold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</si>
</sst>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£&quot;* #,##0.00_-;\-&quot;£&quot;* #,##0.00_-;_-&quot;£&quot;* &quot;-&quot;??_-;_-@_-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3" tint="0.249977111117893"/>
      <name val="Aptos Narrow"/>
      <family val="2"/>
      <scheme val="minor"/>
    </font>
    <font>
      <b/>
      <sz val="11"/>
      <color theme="8" tint="0.39997558519241921"/>
      <name val="Aptos Narrow"/>
      <family val="2"/>
      <scheme val="minor"/>
    </font>
    <font>
      <b/>
      <sz val="11"/>
      <color theme="5" tint="-0.249977111117893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b/>
      <sz val="11"/>
      <color theme="9"/>
      <name val="Aptos Narrow"/>
      <family val="2"/>
      <scheme val="minor"/>
    </font>
    <font>
      <sz val="11"/>
      <color theme="3" tint="0.249977111117893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1" fontId="1" fillId="0" borderId="2" xfId="0" applyNumberFormat="1" applyFont="1" applyBorder="1"/>
    <xf numFmtId="1" fontId="0" fillId="0" borderId="2" xfId="0" applyNumberFormat="1" applyBorder="1"/>
    <xf numFmtId="1" fontId="2" fillId="0" borderId="2" xfId="0" applyNumberFormat="1" applyFont="1" applyBorder="1"/>
    <xf numFmtId="1" fontId="2" fillId="0" borderId="3" xfId="0" applyNumberFormat="1" applyFont="1" applyBorder="1"/>
    <xf numFmtId="4" fontId="2" fillId="0" borderId="1" xfId="0" applyNumberFormat="1" applyFont="1" applyBorder="1" applyAlignment="1">
      <alignment horizontal="center"/>
    </xf>
    <xf numFmtId="4" fontId="0" fillId="0" borderId="2" xfId="0" applyNumberFormat="1" applyBorder="1"/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4" fontId="1" fillId="0" borderId="4" xfId="0" applyNumberFormat="1" applyFont="1" applyBorder="1"/>
    <xf numFmtId="4" fontId="0" fillId="0" borderId="4" xfId="0" applyNumberFormat="1" applyBorder="1"/>
    <xf numFmtId="4" fontId="2" fillId="0" borderId="4" xfId="0" applyNumberFormat="1" applyFont="1" applyBorder="1"/>
    <xf numFmtId="4" fontId="2" fillId="0" borderId="2" xfId="0" applyNumberFormat="1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4" fontId="2" fillId="0" borderId="4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center"/>
    </xf>
    <xf numFmtId="4" fontId="1" fillId="0" borderId="0" xfId="0" applyNumberFormat="1" applyFont="1"/>
    <xf numFmtId="4" fontId="0" fillId="0" borderId="0" xfId="0" applyNumberFormat="1"/>
    <xf numFmtId="4" fontId="2" fillId="0" borderId="0" xfId="0" applyNumberFormat="1" applyFont="1" applyAlignment="1">
      <alignment horizontal="center"/>
    </xf>
    <xf numFmtId="4" fontId="7" fillId="0" borderId="0" xfId="0" applyNumberFormat="1" applyFont="1"/>
    <xf numFmtId="4" fontId="2" fillId="0" borderId="0" xfId="0" applyNumberFormat="1" applyFont="1"/>
    <xf numFmtId="4" fontId="2" fillId="0" borderId="0" xfId="0" applyNumberFormat="1" applyFont="1" applyAlignment="1">
      <alignment horizontal="center" vertical="center"/>
    </xf>
    <xf numFmtId="164" fontId="8" fillId="0" borderId="9" xfId="0" applyNumberFormat="1" applyFont="1" applyBorder="1" applyAlignment="1">
      <alignment horizontal="center" vertical="center"/>
    </xf>
    <xf numFmtId="164" fontId="8" fillId="0" borderId="10" xfId="0" applyNumberFormat="1" applyFont="1" applyBorder="1" applyAlignment="1">
      <alignment vertical="center"/>
    </xf>
    <xf numFmtId="164" fontId="8" fillId="0" borderId="8" xfId="0" applyNumberFormat="1" applyFont="1" applyBorder="1" applyAlignment="1">
      <alignment vertical="center"/>
    </xf>
    <xf numFmtId="0" fontId="4" fillId="0" borderId="5" xfId="0" applyFont="1" applyBorder="1"/>
    <xf numFmtId="0" fontId="0" fillId="0" borderId="11" xfId="0" applyBorder="1"/>
    <xf numFmtId="0" fontId="3" fillId="0" borderId="4" xfId="0" applyFont="1" applyBorder="1"/>
    <xf numFmtId="0" fontId="6" fillId="0" borderId="4" xfId="0" applyFont="1" applyBorder="1"/>
    <xf numFmtId="0" fontId="0" fillId="0" borderId="9" xfId="0" applyBorder="1"/>
    <xf numFmtId="0" fontId="5" fillId="0" borderId="4" xfId="0" applyFont="1" applyBorder="1"/>
    <xf numFmtId="0" fontId="0" fillId="2" borderId="4" xfId="0" applyFill="1" applyBorder="1"/>
    <xf numFmtId="0" fontId="0" fillId="0" borderId="12" xfId="0" applyBorder="1"/>
    <xf numFmtId="4" fontId="0" fillId="0" borderId="0" xfId="0" applyNumberFormat="1" applyBorder="1"/>
    <xf numFmtId="4" fontId="0" fillId="0" borderId="0" xfId="0" applyNumberFormat="1" applyBorder="1" applyAlignment="1">
      <alignment horizont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16F8B-2083-4114-8997-EF006FEB84CE}">
  <sheetPr>
    <pageSetUpPr fitToPage="1"/>
  </sheetPr>
  <dimension ref="A1:W44"/>
  <sheetViews>
    <sheetView tabSelected="1" workbookViewId="0">
      <selection activeCell="Z17" sqref="Z17"/>
    </sheetView>
  </sheetViews>
  <sheetFormatPr defaultColWidth="8.85546875" defaultRowHeight="15" x14ac:dyDescent="0.25"/>
  <cols>
    <col min="1" max="1" width="11" bestFit="1" customWidth="1"/>
    <col min="2" max="2" width="4.85546875" customWidth="1"/>
    <col min="3" max="3" width="5.5703125" customWidth="1"/>
    <col min="4" max="4" width="5.42578125" customWidth="1"/>
    <col min="5" max="5" width="8.5703125" customWidth="1"/>
    <col min="6" max="6" width="12.85546875" style="25" hidden="1" customWidth="1"/>
    <col min="7" max="7" width="13.42578125" style="26" hidden="1" customWidth="1"/>
    <col min="8" max="8" width="11" style="26" hidden="1" customWidth="1"/>
    <col min="9" max="9" width="12.28515625" style="26" hidden="1" customWidth="1"/>
    <col min="10" max="10" width="12.85546875" style="25" hidden="1" customWidth="1"/>
    <col min="11" max="11" width="13.42578125" style="25" customWidth="1"/>
    <col min="12" max="12" width="11.7109375" style="26" hidden="1" customWidth="1"/>
    <col min="13" max="13" width="11.7109375" style="25" customWidth="1"/>
    <col min="14" max="14" width="12.28515625" style="25" customWidth="1"/>
    <col min="15" max="15" width="13.5703125" style="25" customWidth="1"/>
    <col min="16" max="17" width="14.42578125" style="25" customWidth="1"/>
    <col min="18" max="18" width="12.85546875" style="25" customWidth="1"/>
    <col min="19" max="19" width="10.28515625" style="26" hidden="1" customWidth="1"/>
    <col min="20" max="20" width="12.85546875" style="26" hidden="1" customWidth="1"/>
    <col min="21" max="21" width="15.28515625" style="26" hidden="1" customWidth="1"/>
    <col min="22" max="22" width="15.28515625" style="26" customWidth="1"/>
    <col min="23" max="23" width="13.5703125" customWidth="1"/>
  </cols>
  <sheetData>
    <row r="1" spans="1:2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>
        <v>2024</v>
      </c>
      <c r="G1" s="3" t="s">
        <v>5</v>
      </c>
      <c r="H1" s="4" t="s">
        <v>6</v>
      </c>
      <c r="I1" s="5" t="s">
        <v>7</v>
      </c>
      <c r="J1" s="6" t="s">
        <v>8</v>
      </c>
      <c r="K1" s="6"/>
      <c r="L1" s="3" t="s">
        <v>9</v>
      </c>
      <c r="M1" s="6" t="s">
        <v>10</v>
      </c>
      <c r="N1" s="6" t="s">
        <v>11</v>
      </c>
      <c r="O1" s="6" t="s">
        <v>12</v>
      </c>
      <c r="P1" s="6" t="s">
        <v>13</v>
      </c>
      <c r="Q1" s="6" t="s">
        <v>14</v>
      </c>
      <c r="R1" s="6" t="s">
        <v>15</v>
      </c>
      <c r="S1" s="3" t="s">
        <v>16</v>
      </c>
      <c r="T1" s="7" t="s">
        <v>17</v>
      </c>
      <c r="U1" s="7"/>
      <c r="V1" s="6" t="s">
        <v>33</v>
      </c>
      <c r="W1" s="41"/>
    </row>
    <row r="2" spans="1:23" x14ac:dyDescent="0.25">
      <c r="A2" s="9"/>
      <c r="B2" s="10" t="s">
        <v>18</v>
      </c>
      <c r="C2" s="10"/>
      <c r="D2" s="10" t="s">
        <v>18</v>
      </c>
      <c r="E2" s="9"/>
      <c r="F2" s="11"/>
      <c r="G2" s="12"/>
      <c r="H2" s="13" t="s">
        <v>19</v>
      </c>
      <c r="I2" s="13" t="s">
        <v>20</v>
      </c>
      <c r="J2" s="14"/>
      <c r="K2" s="14" t="s">
        <v>21</v>
      </c>
      <c r="L2" s="12"/>
      <c r="M2" s="14" t="s">
        <v>22</v>
      </c>
      <c r="N2" s="14" t="s">
        <v>23</v>
      </c>
      <c r="O2" s="14" t="s">
        <v>23</v>
      </c>
      <c r="P2" s="14" t="s">
        <v>22</v>
      </c>
      <c r="Q2" s="14" t="s">
        <v>22</v>
      </c>
      <c r="R2" s="14"/>
      <c r="S2" s="12"/>
      <c r="T2" s="12">
        <v>0.03</v>
      </c>
      <c r="U2" s="12">
        <v>0.04</v>
      </c>
      <c r="V2" s="43"/>
      <c r="W2" s="41"/>
    </row>
    <row r="3" spans="1:23" x14ac:dyDescent="0.25">
      <c r="A3" s="8">
        <v>1</v>
      </c>
      <c r="B3" s="8">
        <v>104</v>
      </c>
      <c r="C3" s="8">
        <v>3.55</v>
      </c>
      <c r="D3" s="40">
        <v>160.5</v>
      </c>
      <c r="E3" s="15" t="s">
        <v>24</v>
      </c>
      <c r="F3" s="16">
        <v>1720000</v>
      </c>
      <c r="G3" s="17" t="e">
        <f>#REF!-F3</f>
        <v>#REF!</v>
      </c>
      <c r="H3" s="18">
        <f t="shared" ref="H3:H33" si="0">D3*1450</f>
        <v>232725</v>
      </c>
      <c r="I3" s="18">
        <f t="shared" ref="I3:I9" si="1">B3*14400</f>
        <v>1497600</v>
      </c>
      <c r="J3" s="19">
        <f>H3+I3+100000</f>
        <v>1830325</v>
      </c>
      <c r="K3" s="19">
        <v>1869000</v>
      </c>
      <c r="L3" s="17">
        <f>3.5%*K3</f>
        <v>65415.000000000007</v>
      </c>
      <c r="M3" s="19">
        <f t="shared" ref="M3:M33" si="2">0.9%*K3</f>
        <v>16821.000000000004</v>
      </c>
      <c r="N3" s="19">
        <f t="shared" ref="N3:N33" si="3">C3*50000/100</f>
        <v>1775</v>
      </c>
      <c r="O3" s="19">
        <f t="shared" ref="O3:O33" si="4">11.6*B3</f>
        <v>1206.3999999999999</v>
      </c>
      <c r="P3" s="6">
        <f>M3-N3-O3</f>
        <v>13839.600000000004</v>
      </c>
      <c r="Q3" s="19">
        <f>P3*12</f>
        <v>166075.20000000004</v>
      </c>
      <c r="R3" s="19">
        <f t="shared" ref="R3:R33" si="5">Q3/K3*100</f>
        <v>8.8857784911717523</v>
      </c>
      <c r="S3" s="17">
        <f t="shared" ref="S3:S9" si="6">F3/B3</f>
        <v>16538.461538461539</v>
      </c>
      <c r="T3" s="17">
        <f>J3*3%</f>
        <v>54909.75</v>
      </c>
      <c r="U3" s="17">
        <f>J3*4%</f>
        <v>73213</v>
      </c>
      <c r="V3" s="17" t="s">
        <v>34</v>
      </c>
      <c r="W3" s="41"/>
    </row>
    <row r="4" spans="1:23" ht="13.5" customHeight="1" x14ac:dyDescent="0.25">
      <c r="A4" s="8">
        <v>2</v>
      </c>
      <c r="B4" s="8">
        <v>104</v>
      </c>
      <c r="C4">
        <f>B4/B35*100</f>
        <v>3.5494880546075089</v>
      </c>
      <c r="D4" s="8">
        <v>68</v>
      </c>
      <c r="E4" s="15" t="s">
        <v>24</v>
      </c>
      <c r="F4" s="16">
        <v>1580000</v>
      </c>
      <c r="G4" s="17" t="e">
        <f>#REF!-F4</f>
        <v>#REF!</v>
      </c>
      <c r="H4" s="18">
        <f t="shared" si="0"/>
        <v>98600</v>
      </c>
      <c r="I4" s="18">
        <f t="shared" si="1"/>
        <v>1497600</v>
      </c>
      <c r="J4" s="19">
        <f t="shared" ref="J4:J32" si="7">H4+I4</f>
        <v>1596200</v>
      </c>
      <c r="K4" s="19">
        <v>1580000</v>
      </c>
      <c r="L4" s="17">
        <f>3.5%*K4</f>
        <v>55300.000000000007</v>
      </c>
      <c r="M4" s="19">
        <f t="shared" si="2"/>
        <v>14220.000000000002</v>
      </c>
      <c r="N4" s="19">
        <f t="shared" si="3"/>
        <v>1774.7440273037544</v>
      </c>
      <c r="O4" s="19">
        <f t="shared" si="4"/>
        <v>1206.3999999999999</v>
      </c>
      <c r="P4" s="6">
        <f t="shared" ref="P4:P33" si="8">M4-N4-O4</f>
        <v>11238.855972696249</v>
      </c>
      <c r="Q4" s="19">
        <f t="shared" ref="Q4:Q33" si="9">P4*12</f>
        <v>134866.27167235498</v>
      </c>
      <c r="R4" s="19">
        <f t="shared" si="5"/>
        <v>8.535839979262974</v>
      </c>
      <c r="S4" s="17">
        <f t="shared" si="6"/>
        <v>15192.307692307691</v>
      </c>
      <c r="T4" s="17">
        <f t="shared" ref="T4:T35" si="10">J4*3%</f>
        <v>47886</v>
      </c>
      <c r="U4" s="17">
        <f t="shared" ref="U4:U35" si="11">J4*4%</f>
        <v>63848</v>
      </c>
      <c r="V4" s="17"/>
      <c r="W4" s="41"/>
    </row>
    <row r="5" spans="1:23" ht="15" customHeight="1" x14ac:dyDescent="0.25">
      <c r="A5" s="8">
        <v>3</v>
      </c>
      <c r="B5" s="8">
        <v>104</v>
      </c>
      <c r="C5" s="8">
        <f>B5/B35*100</f>
        <v>3.5494880546075089</v>
      </c>
      <c r="D5" s="8">
        <v>51</v>
      </c>
      <c r="E5" s="15" t="s">
        <v>24</v>
      </c>
      <c r="F5" s="16">
        <v>1560000</v>
      </c>
      <c r="G5" s="17" t="e">
        <f>#REF!-F5</f>
        <v>#REF!</v>
      </c>
      <c r="H5" s="18">
        <f t="shared" si="0"/>
        <v>73950</v>
      </c>
      <c r="I5" s="18">
        <f t="shared" si="1"/>
        <v>1497600</v>
      </c>
      <c r="J5" s="19">
        <f t="shared" si="7"/>
        <v>1571550</v>
      </c>
      <c r="K5" s="19">
        <v>1580000</v>
      </c>
      <c r="L5" s="17">
        <f t="shared" ref="L5:L35" si="12">3.5%*K5</f>
        <v>55300.000000000007</v>
      </c>
      <c r="M5" s="19">
        <f t="shared" si="2"/>
        <v>14220.000000000002</v>
      </c>
      <c r="N5" s="19">
        <f t="shared" si="3"/>
        <v>1774.7440273037544</v>
      </c>
      <c r="O5" s="19">
        <f t="shared" si="4"/>
        <v>1206.3999999999999</v>
      </c>
      <c r="P5" s="6">
        <f t="shared" si="8"/>
        <v>11238.855972696249</v>
      </c>
      <c r="Q5" s="19">
        <f t="shared" si="9"/>
        <v>134866.27167235498</v>
      </c>
      <c r="R5" s="19">
        <f t="shared" si="5"/>
        <v>8.535839979262974</v>
      </c>
      <c r="S5" s="17">
        <f t="shared" si="6"/>
        <v>15000</v>
      </c>
      <c r="T5" s="17">
        <f t="shared" si="10"/>
        <v>47146.5</v>
      </c>
      <c r="U5" s="17">
        <f t="shared" si="11"/>
        <v>62862</v>
      </c>
      <c r="V5" s="17"/>
      <c r="W5" s="41"/>
    </row>
    <row r="6" spans="1:23" x14ac:dyDescent="0.25">
      <c r="A6" s="8">
        <v>4</v>
      </c>
      <c r="B6" s="8">
        <v>104</v>
      </c>
      <c r="C6" s="8">
        <f>B6/B35*100</f>
        <v>3.5494880546075089</v>
      </c>
      <c r="D6" s="8">
        <v>51.5</v>
      </c>
      <c r="E6" s="15" t="s">
        <v>24</v>
      </c>
      <c r="F6" s="16">
        <v>1560000</v>
      </c>
      <c r="G6" s="17" t="e">
        <f>#REF!-F6</f>
        <v>#REF!</v>
      </c>
      <c r="H6" s="18">
        <f t="shared" si="0"/>
        <v>74675</v>
      </c>
      <c r="I6" s="18">
        <f t="shared" si="1"/>
        <v>1497600</v>
      </c>
      <c r="J6" s="19">
        <f t="shared" si="7"/>
        <v>1572275</v>
      </c>
      <c r="K6" s="19">
        <v>1580000</v>
      </c>
      <c r="L6" s="17">
        <f t="shared" si="12"/>
        <v>55300.000000000007</v>
      </c>
      <c r="M6" s="19">
        <f t="shared" si="2"/>
        <v>14220.000000000002</v>
      </c>
      <c r="N6" s="19">
        <f t="shared" si="3"/>
        <v>1774.7440273037544</v>
      </c>
      <c r="O6" s="19">
        <f t="shared" si="4"/>
        <v>1206.3999999999999</v>
      </c>
      <c r="P6" s="6">
        <f t="shared" si="8"/>
        <v>11238.855972696249</v>
      </c>
      <c r="Q6" s="19">
        <f t="shared" si="9"/>
        <v>134866.27167235498</v>
      </c>
      <c r="R6" s="19">
        <f t="shared" si="5"/>
        <v>8.535839979262974</v>
      </c>
      <c r="S6" s="17">
        <f t="shared" si="6"/>
        <v>15000</v>
      </c>
      <c r="T6" s="17">
        <f t="shared" si="10"/>
        <v>47168.25</v>
      </c>
      <c r="U6" s="17">
        <f t="shared" si="11"/>
        <v>62891</v>
      </c>
      <c r="V6" s="17" t="s">
        <v>34</v>
      </c>
      <c r="W6" s="41"/>
    </row>
    <row r="7" spans="1:23" x14ac:dyDescent="0.25">
      <c r="A7" s="8">
        <v>5</v>
      </c>
      <c r="B7" s="8">
        <v>99</v>
      </c>
      <c r="C7" s="8">
        <f>B7/B35*100</f>
        <v>3.3788395904436856</v>
      </c>
      <c r="D7" s="8">
        <v>66</v>
      </c>
      <c r="E7" s="20" t="s">
        <v>25</v>
      </c>
      <c r="F7" s="16">
        <v>1480000</v>
      </c>
      <c r="G7" s="17" t="e">
        <f>#REF!-F7</f>
        <v>#REF!</v>
      </c>
      <c r="H7" s="18">
        <f t="shared" si="0"/>
        <v>95700</v>
      </c>
      <c r="I7" s="18">
        <f t="shared" si="1"/>
        <v>1425600</v>
      </c>
      <c r="J7" s="19">
        <f t="shared" si="7"/>
        <v>1521300</v>
      </c>
      <c r="K7" s="19">
        <v>1511000</v>
      </c>
      <c r="L7" s="17">
        <f t="shared" si="12"/>
        <v>52885.000000000007</v>
      </c>
      <c r="M7" s="19">
        <f t="shared" si="2"/>
        <v>13599.000000000002</v>
      </c>
      <c r="N7" s="19">
        <f t="shared" si="3"/>
        <v>1689.4197952218428</v>
      </c>
      <c r="O7" s="19">
        <f t="shared" si="4"/>
        <v>1148.3999999999999</v>
      </c>
      <c r="P7" s="6">
        <f t="shared" si="8"/>
        <v>10761.180204778158</v>
      </c>
      <c r="Q7" s="19">
        <f t="shared" si="9"/>
        <v>129134.16245733789</v>
      </c>
      <c r="R7" s="19">
        <f t="shared" si="5"/>
        <v>8.5462715061110455</v>
      </c>
      <c r="S7" s="17">
        <f t="shared" si="6"/>
        <v>14949.494949494949</v>
      </c>
      <c r="T7" s="17">
        <f t="shared" si="10"/>
        <v>45639</v>
      </c>
      <c r="U7" s="17">
        <f t="shared" si="11"/>
        <v>60852</v>
      </c>
      <c r="V7" s="17"/>
      <c r="W7" s="41"/>
    </row>
    <row r="8" spans="1:23" x14ac:dyDescent="0.25">
      <c r="A8" s="8">
        <v>6</v>
      </c>
      <c r="B8" s="8">
        <v>99</v>
      </c>
      <c r="C8" s="8">
        <v>3.38</v>
      </c>
      <c r="D8" s="8">
        <v>58</v>
      </c>
      <c r="E8" s="20" t="s">
        <v>25</v>
      </c>
      <c r="F8" s="16">
        <v>1470000</v>
      </c>
      <c r="G8" s="17" t="e">
        <f>#REF!-F8</f>
        <v>#REF!</v>
      </c>
      <c r="H8" s="18">
        <f t="shared" si="0"/>
        <v>84100</v>
      </c>
      <c r="I8" s="18">
        <f t="shared" si="1"/>
        <v>1425600</v>
      </c>
      <c r="J8" s="19">
        <f t="shared" si="7"/>
        <v>1509700</v>
      </c>
      <c r="K8" s="19">
        <v>1511000</v>
      </c>
      <c r="L8" s="17">
        <f t="shared" si="12"/>
        <v>52885.000000000007</v>
      </c>
      <c r="M8" s="19">
        <f t="shared" si="2"/>
        <v>13599.000000000002</v>
      </c>
      <c r="N8" s="19">
        <f t="shared" si="3"/>
        <v>1690</v>
      </c>
      <c r="O8" s="19">
        <f t="shared" si="4"/>
        <v>1148.3999999999999</v>
      </c>
      <c r="P8" s="6">
        <f t="shared" si="8"/>
        <v>10760.600000000002</v>
      </c>
      <c r="Q8" s="19">
        <f t="shared" si="9"/>
        <v>129127.20000000003</v>
      </c>
      <c r="R8" s="19">
        <f t="shared" si="5"/>
        <v>8.5458107213765739</v>
      </c>
      <c r="S8" s="17">
        <f t="shared" si="6"/>
        <v>14848.484848484848</v>
      </c>
      <c r="T8" s="17">
        <f t="shared" si="10"/>
        <v>45291</v>
      </c>
      <c r="U8" s="17">
        <f t="shared" si="11"/>
        <v>60388</v>
      </c>
      <c r="V8" s="17" t="s">
        <v>35</v>
      </c>
      <c r="W8" s="41"/>
    </row>
    <row r="9" spans="1:23" x14ac:dyDescent="0.25">
      <c r="A9" s="8">
        <v>7</v>
      </c>
      <c r="B9" s="8">
        <v>88</v>
      </c>
      <c r="C9" s="8">
        <f>B9/2930*100</f>
        <v>3.0034129692832763</v>
      </c>
      <c r="D9" s="8">
        <v>46.5</v>
      </c>
      <c r="E9" s="21" t="s">
        <v>26</v>
      </c>
      <c r="F9" s="16">
        <v>1280000</v>
      </c>
      <c r="G9" s="17" t="e">
        <f>#REF!-F9</f>
        <v>#REF!</v>
      </c>
      <c r="H9" s="18">
        <f t="shared" si="0"/>
        <v>67425</v>
      </c>
      <c r="I9" s="18">
        <f t="shared" si="1"/>
        <v>1267200</v>
      </c>
      <c r="J9" s="19">
        <f>H9+I9+20000</f>
        <v>1354625</v>
      </c>
      <c r="K9" s="19">
        <v>1420000</v>
      </c>
      <c r="L9" s="17">
        <f t="shared" si="12"/>
        <v>49700.000000000007</v>
      </c>
      <c r="M9" s="19">
        <f t="shared" si="2"/>
        <v>12780.000000000002</v>
      </c>
      <c r="N9" s="19">
        <f t="shared" si="3"/>
        <v>1501.7064846416383</v>
      </c>
      <c r="O9" s="19">
        <f t="shared" si="4"/>
        <v>1020.8</v>
      </c>
      <c r="P9" s="6">
        <f t="shared" si="8"/>
        <v>10257.493515358365</v>
      </c>
      <c r="Q9" s="19">
        <f t="shared" si="9"/>
        <v>123089.92218430038</v>
      </c>
      <c r="R9" s="19">
        <f t="shared" si="5"/>
        <v>8.6683043791760817</v>
      </c>
      <c r="S9" s="17">
        <f t="shared" si="6"/>
        <v>14545.454545454546</v>
      </c>
      <c r="T9" s="17">
        <f t="shared" si="10"/>
        <v>40638.75</v>
      </c>
      <c r="U9" s="17">
        <f t="shared" si="11"/>
        <v>54185</v>
      </c>
      <c r="V9" s="17"/>
      <c r="W9" s="41"/>
    </row>
    <row r="10" spans="1:23" hidden="1" x14ac:dyDescent="0.25">
      <c r="A10" s="8">
        <v>8</v>
      </c>
      <c r="B10" s="8">
        <v>99</v>
      </c>
      <c r="C10" s="8">
        <f t="shared" ref="C10:C33" si="13">B10/2930*100</f>
        <v>3.3788395904436856</v>
      </c>
      <c r="D10" s="8">
        <v>64</v>
      </c>
      <c r="E10" s="21"/>
      <c r="F10" s="16"/>
      <c r="G10" s="17" t="e">
        <f>#REF!-F10</f>
        <v>#REF!</v>
      </c>
      <c r="H10" s="18">
        <f t="shared" si="0"/>
        <v>92800</v>
      </c>
      <c r="I10" s="18"/>
      <c r="J10" s="19"/>
      <c r="K10" s="19"/>
      <c r="L10" s="17">
        <f t="shared" si="12"/>
        <v>0</v>
      </c>
      <c r="M10" s="19">
        <f t="shared" si="2"/>
        <v>0</v>
      </c>
      <c r="N10" s="19">
        <f t="shared" si="3"/>
        <v>1689.4197952218428</v>
      </c>
      <c r="O10" s="19">
        <f t="shared" si="4"/>
        <v>1148.3999999999999</v>
      </c>
      <c r="P10" s="6">
        <f t="shared" si="8"/>
        <v>-2837.8197952218425</v>
      </c>
      <c r="Q10" s="19">
        <f t="shared" si="9"/>
        <v>-34053.837542662106</v>
      </c>
      <c r="R10" s="19" t="e">
        <f t="shared" si="5"/>
        <v>#DIV/0!</v>
      </c>
      <c r="S10" s="17">
        <f>J10/B10</f>
        <v>0</v>
      </c>
      <c r="T10" s="17">
        <f t="shared" si="10"/>
        <v>0</v>
      </c>
      <c r="U10" s="17">
        <f t="shared" si="11"/>
        <v>0</v>
      </c>
      <c r="V10" s="17"/>
      <c r="W10" s="41"/>
    </row>
    <row r="11" spans="1:23" x14ac:dyDescent="0.25">
      <c r="A11" s="8">
        <v>9</v>
      </c>
      <c r="B11" s="8">
        <v>86</v>
      </c>
      <c r="C11" s="8">
        <f t="shared" si="13"/>
        <v>2.9351535836177476</v>
      </c>
      <c r="D11" s="8">
        <v>31.5</v>
      </c>
      <c r="E11" s="22" t="s">
        <v>27</v>
      </c>
      <c r="F11" s="16">
        <v>1245000</v>
      </c>
      <c r="G11" s="17" t="e">
        <f>#REF!-F11</f>
        <v>#REF!</v>
      </c>
      <c r="H11" s="18">
        <f t="shared" si="0"/>
        <v>45675</v>
      </c>
      <c r="I11" s="18">
        <f t="shared" ref="I11:I32" si="14">B11*14400</f>
        <v>1238400</v>
      </c>
      <c r="J11" s="19">
        <f t="shared" si="7"/>
        <v>1284075</v>
      </c>
      <c r="K11" s="19">
        <f>B11*15575</f>
        <v>1339450</v>
      </c>
      <c r="L11" s="17">
        <f t="shared" si="12"/>
        <v>46880.750000000007</v>
      </c>
      <c r="M11" s="19">
        <f t="shared" si="2"/>
        <v>12055.050000000001</v>
      </c>
      <c r="N11" s="19">
        <f t="shared" si="3"/>
        <v>1467.5767918088738</v>
      </c>
      <c r="O11" s="19">
        <f t="shared" si="4"/>
        <v>997.6</v>
      </c>
      <c r="P11" s="6">
        <f t="shared" si="8"/>
        <v>9589.8732081911276</v>
      </c>
      <c r="Q11" s="19">
        <f t="shared" si="9"/>
        <v>115078.47849829352</v>
      </c>
      <c r="R11" s="19">
        <f t="shared" si="5"/>
        <v>8.5914725072450278</v>
      </c>
      <c r="S11" s="17">
        <f t="shared" ref="S11:S23" si="15">F11/B11</f>
        <v>14476.744186046511</v>
      </c>
      <c r="T11" s="17">
        <f t="shared" si="10"/>
        <v>38522.25</v>
      </c>
      <c r="U11" s="17">
        <f t="shared" si="11"/>
        <v>51363</v>
      </c>
      <c r="V11" s="17"/>
      <c r="W11" s="41"/>
    </row>
    <row r="12" spans="1:23" x14ac:dyDescent="0.25">
      <c r="A12" s="8">
        <v>10</v>
      </c>
      <c r="B12" s="8">
        <v>86</v>
      </c>
      <c r="C12" s="8">
        <f t="shared" si="13"/>
        <v>2.9351535836177476</v>
      </c>
      <c r="D12" s="8">
        <v>31.5</v>
      </c>
      <c r="E12" s="22" t="s">
        <v>27</v>
      </c>
      <c r="F12" s="16">
        <v>1245000</v>
      </c>
      <c r="G12" s="17" t="e">
        <f>#REF!-F12</f>
        <v>#REF!</v>
      </c>
      <c r="H12" s="18">
        <f t="shared" si="0"/>
        <v>45675</v>
      </c>
      <c r="I12" s="18">
        <f t="shared" si="14"/>
        <v>1238400</v>
      </c>
      <c r="J12" s="19">
        <f t="shared" si="7"/>
        <v>1284075</v>
      </c>
      <c r="K12" s="19">
        <f t="shared" ref="K12:K14" si="16">B12*15575</f>
        <v>1339450</v>
      </c>
      <c r="L12" s="17">
        <f t="shared" si="12"/>
        <v>46880.750000000007</v>
      </c>
      <c r="M12" s="19">
        <f t="shared" si="2"/>
        <v>12055.050000000001</v>
      </c>
      <c r="N12" s="19">
        <f t="shared" si="3"/>
        <v>1467.5767918088738</v>
      </c>
      <c r="O12" s="19">
        <f t="shared" si="4"/>
        <v>997.6</v>
      </c>
      <c r="P12" s="6">
        <f t="shared" si="8"/>
        <v>9589.8732081911276</v>
      </c>
      <c r="Q12" s="19">
        <f t="shared" si="9"/>
        <v>115078.47849829352</v>
      </c>
      <c r="R12" s="19">
        <f t="shared" si="5"/>
        <v>8.5914725072450278</v>
      </c>
      <c r="S12" s="17">
        <f t="shared" si="15"/>
        <v>14476.744186046511</v>
      </c>
      <c r="T12" s="17">
        <f t="shared" si="10"/>
        <v>38522.25</v>
      </c>
      <c r="U12" s="17">
        <f t="shared" si="11"/>
        <v>51363</v>
      </c>
      <c r="V12" s="17"/>
      <c r="W12" s="41"/>
    </row>
    <row r="13" spans="1:23" x14ac:dyDescent="0.25">
      <c r="A13" s="8">
        <v>11</v>
      </c>
      <c r="B13" s="8">
        <v>86</v>
      </c>
      <c r="C13" s="8">
        <f t="shared" si="13"/>
        <v>2.9351535836177476</v>
      </c>
      <c r="D13" s="8">
        <v>31.5</v>
      </c>
      <c r="E13" s="22" t="s">
        <v>27</v>
      </c>
      <c r="F13" s="16">
        <v>1245000</v>
      </c>
      <c r="G13" s="17" t="e">
        <f>#REF!-F13</f>
        <v>#REF!</v>
      </c>
      <c r="H13" s="18">
        <f t="shared" si="0"/>
        <v>45675</v>
      </c>
      <c r="I13" s="18">
        <f t="shared" si="14"/>
        <v>1238400</v>
      </c>
      <c r="J13" s="19">
        <f t="shared" si="7"/>
        <v>1284075</v>
      </c>
      <c r="K13" s="19">
        <f t="shared" si="16"/>
        <v>1339450</v>
      </c>
      <c r="L13" s="17">
        <f t="shared" si="12"/>
        <v>46880.750000000007</v>
      </c>
      <c r="M13" s="19">
        <f t="shared" si="2"/>
        <v>12055.050000000001</v>
      </c>
      <c r="N13" s="19">
        <f t="shared" si="3"/>
        <v>1467.5767918088738</v>
      </c>
      <c r="O13" s="19">
        <f t="shared" si="4"/>
        <v>997.6</v>
      </c>
      <c r="P13" s="6">
        <f t="shared" si="8"/>
        <v>9589.8732081911276</v>
      </c>
      <c r="Q13" s="19">
        <f t="shared" si="9"/>
        <v>115078.47849829352</v>
      </c>
      <c r="R13" s="19">
        <f t="shared" si="5"/>
        <v>8.5914725072450278</v>
      </c>
      <c r="S13" s="17">
        <f t="shared" si="15"/>
        <v>14476.744186046511</v>
      </c>
      <c r="T13" s="17">
        <f t="shared" si="10"/>
        <v>38522.25</v>
      </c>
      <c r="U13" s="17">
        <f t="shared" si="11"/>
        <v>51363</v>
      </c>
      <c r="V13" s="17"/>
      <c r="W13" s="41"/>
    </row>
    <row r="14" spans="1:23" x14ac:dyDescent="0.25">
      <c r="A14" s="8">
        <v>12</v>
      </c>
      <c r="B14" s="8">
        <v>86</v>
      </c>
      <c r="C14" s="8">
        <f t="shared" si="13"/>
        <v>2.9351535836177476</v>
      </c>
      <c r="D14" s="8">
        <v>31.5</v>
      </c>
      <c r="E14" s="22" t="s">
        <v>27</v>
      </c>
      <c r="F14" s="16">
        <v>1245000</v>
      </c>
      <c r="G14" s="17" t="e">
        <f>#REF!-F14</f>
        <v>#REF!</v>
      </c>
      <c r="H14" s="18">
        <f t="shared" si="0"/>
        <v>45675</v>
      </c>
      <c r="I14" s="18">
        <f t="shared" si="14"/>
        <v>1238400</v>
      </c>
      <c r="J14" s="19">
        <f t="shared" si="7"/>
        <v>1284075</v>
      </c>
      <c r="K14" s="19">
        <f t="shared" si="16"/>
        <v>1339450</v>
      </c>
      <c r="L14" s="17">
        <f t="shared" si="12"/>
        <v>46880.750000000007</v>
      </c>
      <c r="M14" s="19">
        <f t="shared" si="2"/>
        <v>12055.050000000001</v>
      </c>
      <c r="N14" s="19">
        <f t="shared" si="3"/>
        <v>1467.5767918088738</v>
      </c>
      <c r="O14" s="19">
        <f t="shared" si="4"/>
        <v>997.6</v>
      </c>
      <c r="P14" s="6">
        <f t="shared" si="8"/>
        <v>9589.8732081911276</v>
      </c>
      <c r="Q14" s="19">
        <f t="shared" si="9"/>
        <v>115078.47849829352</v>
      </c>
      <c r="R14" s="19">
        <f t="shared" si="5"/>
        <v>8.5914725072450278</v>
      </c>
      <c r="S14" s="17">
        <f t="shared" si="15"/>
        <v>14476.744186046511</v>
      </c>
      <c r="T14" s="17">
        <f t="shared" si="10"/>
        <v>38522.25</v>
      </c>
      <c r="U14" s="17">
        <f t="shared" si="11"/>
        <v>51363</v>
      </c>
      <c r="V14" s="17"/>
      <c r="W14" s="41"/>
    </row>
    <row r="15" spans="1:23" x14ac:dyDescent="0.25">
      <c r="A15" s="8">
        <v>13</v>
      </c>
      <c r="B15" s="8">
        <v>99</v>
      </c>
      <c r="C15" s="8">
        <f t="shared" si="13"/>
        <v>3.3788395904436856</v>
      </c>
      <c r="D15" s="8">
        <v>21.5</v>
      </c>
      <c r="E15" s="20" t="s">
        <v>25</v>
      </c>
      <c r="F15" s="16">
        <v>1300000</v>
      </c>
      <c r="G15" s="17" t="e">
        <f>#REF!-F15</f>
        <v>#REF!</v>
      </c>
      <c r="H15" s="18">
        <f t="shared" si="0"/>
        <v>31175</v>
      </c>
      <c r="I15" s="18">
        <f t="shared" si="14"/>
        <v>1425600</v>
      </c>
      <c r="J15" s="19">
        <f t="shared" si="7"/>
        <v>1456775</v>
      </c>
      <c r="K15" s="19">
        <v>1506000</v>
      </c>
      <c r="L15" s="17">
        <f t="shared" si="12"/>
        <v>52710.000000000007</v>
      </c>
      <c r="M15" s="19">
        <f t="shared" si="2"/>
        <v>13554.000000000002</v>
      </c>
      <c r="N15" s="19">
        <f t="shared" si="3"/>
        <v>1689.4197952218428</v>
      </c>
      <c r="O15" s="19">
        <f t="shared" si="4"/>
        <v>1148.3999999999999</v>
      </c>
      <c r="P15" s="6">
        <f t="shared" si="8"/>
        <v>10716.180204778158</v>
      </c>
      <c r="Q15" s="19">
        <f t="shared" si="9"/>
        <v>128594.16245733789</v>
      </c>
      <c r="R15" s="19">
        <f t="shared" si="5"/>
        <v>8.5387890077913617</v>
      </c>
      <c r="S15" s="17">
        <f t="shared" si="15"/>
        <v>13131.313131313131</v>
      </c>
      <c r="T15" s="17">
        <f t="shared" si="10"/>
        <v>43703.25</v>
      </c>
      <c r="U15" s="17">
        <f t="shared" si="11"/>
        <v>58271</v>
      </c>
      <c r="V15" s="17"/>
      <c r="W15" s="41"/>
    </row>
    <row r="16" spans="1:23" x14ac:dyDescent="0.25">
      <c r="A16" s="8">
        <v>14</v>
      </c>
      <c r="B16" s="8">
        <v>99</v>
      </c>
      <c r="C16" s="8">
        <f t="shared" si="13"/>
        <v>3.3788395904436856</v>
      </c>
      <c r="D16" s="8">
        <v>21.5</v>
      </c>
      <c r="E16" s="20" t="s">
        <v>25</v>
      </c>
      <c r="F16" s="16">
        <v>1300000</v>
      </c>
      <c r="G16" s="17" t="e">
        <f>#REF!-F16</f>
        <v>#REF!</v>
      </c>
      <c r="H16" s="18">
        <f t="shared" si="0"/>
        <v>31175</v>
      </c>
      <c r="I16" s="18">
        <f t="shared" si="14"/>
        <v>1425600</v>
      </c>
      <c r="J16" s="19">
        <f t="shared" si="7"/>
        <v>1456775</v>
      </c>
      <c r="K16" s="19">
        <v>1506000</v>
      </c>
      <c r="L16" s="17">
        <f t="shared" si="12"/>
        <v>52710.000000000007</v>
      </c>
      <c r="M16" s="19">
        <f t="shared" si="2"/>
        <v>13554.000000000002</v>
      </c>
      <c r="N16" s="19">
        <f t="shared" si="3"/>
        <v>1689.4197952218428</v>
      </c>
      <c r="O16" s="19">
        <f t="shared" si="4"/>
        <v>1148.3999999999999</v>
      </c>
      <c r="P16" s="6">
        <f t="shared" si="8"/>
        <v>10716.180204778158</v>
      </c>
      <c r="Q16" s="19">
        <f t="shared" si="9"/>
        <v>128594.16245733789</v>
      </c>
      <c r="R16" s="19">
        <f t="shared" si="5"/>
        <v>8.5387890077913617</v>
      </c>
      <c r="S16" s="17">
        <f t="shared" si="15"/>
        <v>13131.313131313131</v>
      </c>
      <c r="T16" s="17">
        <f t="shared" si="10"/>
        <v>43703.25</v>
      </c>
      <c r="U16" s="17">
        <f t="shared" si="11"/>
        <v>58271</v>
      </c>
      <c r="V16" s="17" t="s">
        <v>35</v>
      </c>
      <c r="W16" s="41"/>
    </row>
    <row r="17" spans="1:23" x14ac:dyDescent="0.25">
      <c r="A17" s="8">
        <v>15</v>
      </c>
      <c r="B17" s="8">
        <v>86</v>
      </c>
      <c r="C17" s="8">
        <f t="shared" si="13"/>
        <v>2.9351535836177476</v>
      </c>
      <c r="D17" s="8">
        <v>31</v>
      </c>
      <c r="E17" s="22" t="s">
        <v>27</v>
      </c>
      <c r="F17" s="16">
        <v>1240000</v>
      </c>
      <c r="G17" s="17" t="e">
        <f>#REF!-F17</f>
        <v>#REF!</v>
      </c>
      <c r="H17" s="18">
        <f t="shared" si="0"/>
        <v>44950</v>
      </c>
      <c r="I17" s="18">
        <f t="shared" si="14"/>
        <v>1238400</v>
      </c>
      <c r="J17" s="19">
        <f t="shared" si="7"/>
        <v>1283350</v>
      </c>
      <c r="K17" s="19">
        <f>B17*15575</f>
        <v>1339450</v>
      </c>
      <c r="L17" s="17">
        <f t="shared" si="12"/>
        <v>46880.750000000007</v>
      </c>
      <c r="M17" s="19">
        <f t="shared" si="2"/>
        <v>12055.050000000001</v>
      </c>
      <c r="N17" s="19">
        <f t="shared" si="3"/>
        <v>1467.5767918088738</v>
      </c>
      <c r="O17" s="19">
        <f t="shared" si="4"/>
        <v>997.6</v>
      </c>
      <c r="P17" s="6">
        <f t="shared" si="8"/>
        <v>9589.8732081911276</v>
      </c>
      <c r="Q17" s="19">
        <f t="shared" si="9"/>
        <v>115078.47849829352</v>
      </c>
      <c r="R17" s="19">
        <f t="shared" si="5"/>
        <v>8.5914725072450278</v>
      </c>
      <c r="S17" s="17">
        <f t="shared" si="15"/>
        <v>14418.60465116279</v>
      </c>
      <c r="T17" s="17">
        <f t="shared" si="10"/>
        <v>38500.5</v>
      </c>
      <c r="U17" s="17">
        <f t="shared" si="11"/>
        <v>51334</v>
      </c>
      <c r="V17" s="17"/>
      <c r="W17" s="41"/>
    </row>
    <row r="18" spans="1:23" x14ac:dyDescent="0.25">
      <c r="A18" s="8">
        <v>16</v>
      </c>
      <c r="B18" s="8">
        <v>88</v>
      </c>
      <c r="C18" s="8">
        <f t="shared" si="13"/>
        <v>3.0034129692832763</v>
      </c>
      <c r="D18" s="8">
        <v>31</v>
      </c>
      <c r="E18" s="21" t="s">
        <v>26</v>
      </c>
      <c r="F18" s="16">
        <v>1300000</v>
      </c>
      <c r="G18" s="17" t="e">
        <f>#REF!-F18</f>
        <v>#REF!</v>
      </c>
      <c r="H18" s="18">
        <f t="shared" si="0"/>
        <v>44950</v>
      </c>
      <c r="I18" s="18">
        <f t="shared" si="14"/>
        <v>1267200</v>
      </c>
      <c r="J18" s="19">
        <f t="shared" si="7"/>
        <v>1312150</v>
      </c>
      <c r="K18" s="19">
        <f>B18*16000</f>
        <v>1408000</v>
      </c>
      <c r="L18" s="17">
        <f t="shared" si="12"/>
        <v>49280.000000000007</v>
      </c>
      <c r="M18" s="19">
        <f t="shared" si="2"/>
        <v>12672.000000000002</v>
      </c>
      <c r="N18" s="19">
        <f t="shared" si="3"/>
        <v>1501.7064846416383</v>
      </c>
      <c r="O18" s="19">
        <f t="shared" si="4"/>
        <v>1020.8</v>
      </c>
      <c r="P18" s="6">
        <f t="shared" si="8"/>
        <v>10149.493515358365</v>
      </c>
      <c r="Q18" s="19">
        <f t="shared" si="9"/>
        <v>121793.92218430038</v>
      </c>
      <c r="R18" s="19">
        <f t="shared" si="5"/>
        <v>8.6501365187713333</v>
      </c>
      <c r="S18" s="17">
        <f t="shared" si="15"/>
        <v>14772.727272727272</v>
      </c>
      <c r="T18" s="17">
        <f t="shared" si="10"/>
        <v>39364.5</v>
      </c>
      <c r="U18" s="17">
        <f t="shared" si="11"/>
        <v>52486</v>
      </c>
      <c r="V18" s="17"/>
      <c r="W18" s="41"/>
    </row>
    <row r="19" spans="1:23" x14ac:dyDescent="0.25">
      <c r="A19" s="8">
        <v>17</v>
      </c>
      <c r="B19" s="8">
        <v>88</v>
      </c>
      <c r="C19" s="8">
        <f t="shared" si="13"/>
        <v>3.0034129692832763</v>
      </c>
      <c r="D19" s="8">
        <v>31</v>
      </c>
      <c r="E19" s="21" t="s">
        <v>26</v>
      </c>
      <c r="F19" s="16">
        <v>1300000</v>
      </c>
      <c r="G19" s="17" t="e">
        <f>#REF!-F19</f>
        <v>#REF!</v>
      </c>
      <c r="H19" s="18">
        <f t="shared" si="0"/>
        <v>44950</v>
      </c>
      <c r="I19" s="18">
        <f t="shared" si="14"/>
        <v>1267200</v>
      </c>
      <c r="J19" s="19">
        <f t="shared" si="7"/>
        <v>1312150</v>
      </c>
      <c r="K19" s="19">
        <f>B19*16000</f>
        <v>1408000</v>
      </c>
      <c r="L19" s="17">
        <f t="shared" si="12"/>
        <v>49280.000000000007</v>
      </c>
      <c r="M19" s="19">
        <f t="shared" si="2"/>
        <v>12672.000000000002</v>
      </c>
      <c r="N19" s="19">
        <f t="shared" si="3"/>
        <v>1501.7064846416383</v>
      </c>
      <c r="O19" s="19">
        <f t="shared" si="4"/>
        <v>1020.8</v>
      </c>
      <c r="P19" s="6">
        <f t="shared" si="8"/>
        <v>10149.493515358365</v>
      </c>
      <c r="Q19" s="19">
        <f t="shared" si="9"/>
        <v>121793.92218430038</v>
      </c>
      <c r="R19" s="19">
        <f t="shared" si="5"/>
        <v>8.6501365187713333</v>
      </c>
      <c r="S19" s="17">
        <f t="shared" si="15"/>
        <v>14772.727272727272</v>
      </c>
      <c r="T19" s="17">
        <f t="shared" si="10"/>
        <v>39364.5</v>
      </c>
      <c r="U19" s="17">
        <f t="shared" si="11"/>
        <v>52486</v>
      </c>
      <c r="V19" s="17"/>
      <c r="W19" s="41"/>
    </row>
    <row r="20" spans="1:23" x14ac:dyDescent="0.25">
      <c r="A20" s="8">
        <v>18</v>
      </c>
      <c r="B20" s="8">
        <v>86</v>
      </c>
      <c r="C20" s="8">
        <f t="shared" si="13"/>
        <v>2.9351535836177476</v>
      </c>
      <c r="D20" s="8">
        <v>31</v>
      </c>
      <c r="E20" s="22" t="s">
        <v>27</v>
      </c>
      <c r="F20" s="16">
        <v>1240000</v>
      </c>
      <c r="G20" s="17" t="e">
        <f>#REF!-F20</f>
        <v>#REF!</v>
      </c>
      <c r="H20" s="18">
        <f t="shared" si="0"/>
        <v>44950</v>
      </c>
      <c r="I20" s="18">
        <f t="shared" si="14"/>
        <v>1238400</v>
      </c>
      <c r="J20" s="19">
        <f t="shared" si="7"/>
        <v>1283350</v>
      </c>
      <c r="K20" s="19">
        <f>B20*15575</f>
        <v>1339450</v>
      </c>
      <c r="L20" s="17">
        <f t="shared" si="12"/>
        <v>46880.750000000007</v>
      </c>
      <c r="M20" s="19">
        <f t="shared" si="2"/>
        <v>12055.050000000001</v>
      </c>
      <c r="N20" s="19">
        <f t="shared" si="3"/>
        <v>1467.5767918088738</v>
      </c>
      <c r="O20" s="19">
        <f t="shared" si="4"/>
        <v>997.6</v>
      </c>
      <c r="P20" s="6">
        <f t="shared" si="8"/>
        <v>9589.8732081911276</v>
      </c>
      <c r="Q20" s="19">
        <f t="shared" si="9"/>
        <v>115078.47849829352</v>
      </c>
      <c r="R20" s="19">
        <f t="shared" si="5"/>
        <v>8.5914725072450278</v>
      </c>
      <c r="S20" s="17">
        <f t="shared" si="15"/>
        <v>14418.60465116279</v>
      </c>
      <c r="T20" s="17">
        <f t="shared" si="10"/>
        <v>38500.5</v>
      </c>
      <c r="U20" s="17">
        <f t="shared" si="11"/>
        <v>51334</v>
      </c>
      <c r="V20" s="17"/>
      <c r="W20" s="41"/>
    </row>
    <row r="21" spans="1:23" x14ac:dyDescent="0.25">
      <c r="A21" s="8">
        <v>19</v>
      </c>
      <c r="B21" s="8">
        <v>99</v>
      </c>
      <c r="C21" s="8">
        <f t="shared" si="13"/>
        <v>3.3788395904436856</v>
      </c>
      <c r="D21" s="8">
        <v>65.5</v>
      </c>
      <c r="E21" s="20" t="s">
        <v>25</v>
      </c>
      <c r="F21" s="16">
        <v>1450000</v>
      </c>
      <c r="G21" s="17" t="e">
        <f>#REF!-F21</f>
        <v>#REF!</v>
      </c>
      <c r="H21" s="18">
        <f t="shared" si="0"/>
        <v>94975</v>
      </c>
      <c r="I21" s="18">
        <f t="shared" si="14"/>
        <v>1425600</v>
      </c>
      <c r="J21" s="19">
        <f t="shared" si="7"/>
        <v>1520575</v>
      </c>
      <c r="K21" s="19">
        <f>B21*15706</f>
        <v>1554894</v>
      </c>
      <c r="L21" s="17">
        <f t="shared" si="12"/>
        <v>54421.290000000008</v>
      </c>
      <c r="M21" s="19">
        <f t="shared" si="2"/>
        <v>13994.046000000002</v>
      </c>
      <c r="N21" s="19">
        <f t="shared" si="3"/>
        <v>1689.4197952218428</v>
      </c>
      <c r="O21" s="19">
        <f t="shared" si="4"/>
        <v>1148.3999999999999</v>
      </c>
      <c r="P21" s="6">
        <f t="shared" si="8"/>
        <v>11156.226204778161</v>
      </c>
      <c r="Q21" s="19">
        <f t="shared" si="9"/>
        <v>133874.71445733792</v>
      </c>
      <c r="R21" s="19">
        <f t="shared" si="5"/>
        <v>8.609893308311559</v>
      </c>
      <c r="S21" s="17">
        <f t="shared" si="15"/>
        <v>14646.464646464647</v>
      </c>
      <c r="T21" s="17">
        <f t="shared" si="10"/>
        <v>45617.25</v>
      </c>
      <c r="U21" s="17">
        <f t="shared" si="11"/>
        <v>60823</v>
      </c>
      <c r="V21" s="17"/>
      <c r="W21" s="41"/>
    </row>
    <row r="22" spans="1:23" x14ac:dyDescent="0.25">
      <c r="A22" s="8">
        <v>20</v>
      </c>
      <c r="B22" s="8">
        <v>99</v>
      </c>
      <c r="C22" s="8">
        <f t="shared" si="13"/>
        <v>3.3788395904436856</v>
      </c>
      <c r="D22" s="8">
        <v>65.5</v>
      </c>
      <c r="E22" s="20" t="s">
        <v>25</v>
      </c>
      <c r="F22" s="16">
        <v>1450000</v>
      </c>
      <c r="G22" s="17" t="e">
        <f>#REF!-F22</f>
        <v>#REF!</v>
      </c>
      <c r="H22" s="18">
        <f t="shared" si="0"/>
        <v>94975</v>
      </c>
      <c r="I22" s="18">
        <f t="shared" si="14"/>
        <v>1425600</v>
      </c>
      <c r="J22" s="19">
        <f t="shared" si="7"/>
        <v>1520575</v>
      </c>
      <c r="K22" s="19">
        <f>B22*15706</f>
        <v>1554894</v>
      </c>
      <c r="L22" s="17">
        <f t="shared" si="12"/>
        <v>54421.290000000008</v>
      </c>
      <c r="M22" s="19">
        <f t="shared" si="2"/>
        <v>13994.046000000002</v>
      </c>
      <c r="N22" s="19">
        <f t="shared" si="3"/>
        <v>1689.4197952218428</v>
      </c>
      <c r="O22" s="19">
        <f t="shared" si="4"/>
        <v>1148.3999999999999</v>
      </c>
      <c r="P22" s="6">
        <f t="shared" si="8"/>
        <v>11156.226204778161</v>
      </c>
      <c r="Q22" s="19">
        <f t="shared" si="9"/>
        <v>133874.71445733792</v>
      </c>
      <c r="R22" s="19">
        <f t="shared" si="5"/>
        <v>8.609893308311559</v>
      </c>
      <c r="S22" s="17">
        <f t="shared" si="15"/>
        <v>14646.464646464647</v>
      </c>
      <c r="T22" s="17">
        <f t="shared" si="10"/>
        <v>45617.25</v>
      </c>
      <c r="U22" s="17">
        <f t="shared" si="11"/>
        <v>60823</v>
      </c>
      <c r="V22" s="17"/>
      <c r="W22" s="41"/>
    </row>
    <row r="23" spans="1:23" x14ac:dyDescent="0.25">
      <c r="A23" s="8">
        <v>21</v>
      </c>
      <c r="B23" s="8">
        <v>86</v>
      </c>
      <c r="C23" s="8">
        <f t="shared" si="13"/>
        <v>2.9351535836177476</v>
      </c>
      <c r="D23" s="8">
        <v>31</v>
      </c>
      <c r="E23" s="22" t="s">
        <v>27</v>
      </c>
      <c r="F23" s="16">
        <v>1250000</v>
      </c>
      <c r="G23" s="17" t="e">
        <f>#REF!-F23</f>
        <v>#REF!</v>
      </c>
      <c r="H23" s="18">
        <f t="shared" si="0"/>
        <v>44950</v>
      </c>
      <c r="I23" s="18">
        <f t="shared" si="14"/>
        <v>1238400</v>
      </c>
      <c r="J23" s="19">
        <f t="shared" si="7"/>
        <v>1283350</v>
      </c>
      <c r="K23" s="19">
        <f>B23*15575</f>
        <v>1339450</v>
      </c>
      <c r="L23" s="17">
        <f t="shared" si="12"/>
        <v>46880.750000000007</v>
      </c>
      <c r="M23" s="19">
        <f t="shared" si="2"/>
        <v>12055.050000000001</v>
      </c>
      <c r="N23" s="19">
        <f t="shared" si="3"/>
        <v>1467.5767918088738</v>
      </c>
      <c r="O23" s="19">
        <f t="shared" si="4"/>
        <v>997.6</v>
      </c>
      <c r="P23" s="6">
        <f t="shared" si="8"/>
        <v>9589.8732081911276</v>
      </c>
      <c r="Q23" s="19">
        <f t="shared" si="9"/>
        <v>115078.47849829352</v>
      </c>
      <c r="R23" s="19">
        <f t="shared" si="5"/>
        <v>8.5914725072450278</v>
      </c>
      <c r="S23" s="17">
        <f t="shared" si="15"/>
        <v>14534.883720930233</v>
      </c>
      <c r="T23" s="17">
        <f t="shared" si="10"/>
        <v>38500.5</v>
      </c>
      <c r="U23" s="17">
        <f t="shared" si="11"/>
        <v>51334</v>
      </c>
      <c r="V23" s="17"/>
      <c r="W23" s="41"/>
    </row>
    <row r="24" spans="1:23" x14ac:dyDescent="0.25">
      <c r="A24" s="8">
        <v>22</v>
      </c>
      <c r="B24" s="8">
        <v>88</v>
      </c>
      <c r="C24" s="8">
        <f t="shared" si="13"/>
        <v>3.0034129692832763</v>
      </c>
      <c r="D24" s="8">
        <v>31</v>
      </c>
      <c r="E24" s="21" t="s">
        <v>26</v>
      </c>
      <c r="F24" s="16">
        <v>1250000</v>
      </c>
      <c r="G24" s="17" t="e">
        <f>#REF!-F24</f>
        <v>#REF!</v>
      </c>
      <c r="H24" s="18">
        <f t="shared" si="0"/>
        <v>44950</v>
      </c>
      <c r="I24" s="18">
        <f t="shared" si="14"/>
        <v>1267200</v>
      </c>
      <c r="J24" s="19">
        <f t="shared" si="7"/>
        <v>1312150</v>
      </c>
      <c r="K24" s="19">
        <f>B24*16000</f>
        <v>1408000</v>
      </c>
      <c r="L24" s="17">
        <f t="shared" si="12"/>
        <v>49280.000000000007</v>
      </c>
      <c r="M24" s="19">
        <f t="shared" si="2"/>
        <v>12672.000000000002</v>
      </c>
      <c r="N24" s="19">
        <f t="shared" si="3"/>
        <v>1501.7064846416383</v>
      </c>
      <c r="O24" s="19">
        <f t="shared" si="4"/>
        <v>1020.8</v>
      </c>
      <c r="P24" s="6">
        <f t="shared" si="8"/>
        <v>10149.493515358365</v>
      </c>
      <c r="Q24" s="19">
        <f t="shared" si="9"/>
        <v>121793.92218430038</v>
      </c>
      <c r="R24" s="19">
        <f t="shared" si="5"/>
        <v>8.6501365187713333</v>
      </c>
      <c r="S24" s="17">
        <f>F23/B24</f>
        <v>14204.545454545454</v>
      </c>
      <c r="T24" s="17">
        <f t="shared" si="10"/>
        <v>39364.5</v>
      </c>
      <c r="U24" s="17">
        <f t="shared" si="11"/>
        <v>52486</v>
      </c>
      <c r="V24" s="17"/>
      <c r="W24" s="41"/>
    </row>
    <row r="25" spans="1:23" x14ac:dyDescent="0.25">
      <c r="A25" s="8">
        <v>23</v>
      </c>
      <c r="B25" s="8">
        <v>88</v>
      </c>
      <c r="C25" s="8">
        <f t="shared" si="13"/>
        <v>3.0034129692832763</v>
      </c>
      <c r="D25" s="8">
        <v>32</v>
      </c>
      <c r="E25" s="21" t="s">
        <v>26</v>
      </c>
      <c r="F25" s="16">
        <v>1250000</v>
      </c>
      <c r="G25" s="17" t="e">
        <f>#REF!-F25</f>
        <v>#REF!</v>
      </c>
      <c r="H25" s="18">
        <f t="shared" si="0"/>
        <v>46400</v>
      </c>
      <c r="I25" s="18">
        <f t="shared" si="14"/>
        <v>1267200</v>
      </c>
      <c r="J25" s="19">
        <f t="shared" si="7"/>
        <v>1313600</v>
      </c>
      <c r="K25" s="19">
        <f>B25*16000</f>
        <v>1408000</v>
      </c>
      <c r="L25" s="17">
        <f t="shared" si="12"/>
        <v>49280.000000000007</v>
      </c>
      <c r="M25" s="19">
        <f t="shared" si="2"/>
        <v>12672.000000000002</v>
      </c>
      <c r="N25" s="19">
        <f t="shared" si="3"/>
        <v>1501.7064846416383</v>
      </c>
      <c r="O25" s="19">
        <f t="shared" si="4"/>
        <v>1020.8</v>
      </c>
      <c r="P25" s="6">
        <f>M25-N25-O25</f>
        <v>10149.493515358365</v>
      </c>
      <c r="Q25" s="19">
        <f t="shared" si="9"/>
        <v>121793.92218430038</v>
      </c>
      <c r="R25" s="19">
        <f t="shared" si="5"/>
        <v>8.6501365187713333</v>
      </c>
      <c r="S25" s="17">
        <f t="shared" ref="S25:S33" si="17">F25/B25</f>
        <v>14204.545454545454</v>
      </c>
      <c r="T25" s="17">
        <f t="shared" si="10"/>
        <v>39408</v>
      </c>
      <c r="U25" s="17">
        <f t="shared" si="11"/>
        <v>52544</v>
      </c>
      <c r="V25" s="17"/>
      <c r="W25" s="41"/>
    </row>
    <row r="26" spans="1:23" x14ac:dyDescent="0.25">
      <c r="A26" s="8">
        <v>24</v>
      </c>
      <c r="B26" s="8">
        <v>86</v>
      </c>
      <c r="C26" s="8">
        <f t="shared" si="13"/>
        <v>2.9351535836177476</v>
      </c>
      <c r="D26" s="8">
        <v>32</v>
      </c>
      <c r="E26" s="22" t="s">
        <v>27</v>
      </c>
      <c r="F26" s="16">
        <v>1250000</v>
      </c>
      <c r="G26" s="17" t="e">
        <f>#REF!-F26</f>
        <v>#REF!</v>
      </c>
      <c r="H26" s="18">
        <f t="shared" si="0"/>
        <v>46400</v>
      </c>
      <c r="I26" s="18">
        <f t="shared" si="14"/>
        <v>1238400</v>
      </c>
      <c r="J26" s="19">
        <f t="shared" si="7"/>
        <v>1284800</v>
      </c>
      <c r="K26" s="19">
        <f>B26*15575</f>
        <v>1339450</v>
      </c>
      <c r="L26" s="17">
        <f t="shared" si="12"/>
        <v>46880.750000000007</v>
      </c>
      <c r="M26" s="19">
        <f t="shared" si="2"/>
        <v>12055.050000000001</v>
      </c>
      <c r="N26" s="19">
        <f t="shared" si="3"/>
        <v>1467.5767918088738</v>
      </c>
      <c r="O26" s="19">
        <f t="shared" si="4"/>
        <v>997.6</v>
      </c>
      <c r="P26" s="6">
        <f t="shared" si="8"/>
        <v>9589.8732081911276</v>
      </c>
      <c r="Q26" s="19">
        <f t="shared" si="9"/>
        <v>115078.47849829352</v>
      </c>
      <c r="R26" s="19">
        <f t="shared" si="5"/>
        <v>8.5914725072450278</v>
      </c>
      <c r="S26" s="17">
        <f t="shared" si="17"/>
        <v>14534.883720930233</v>
      </c>
      <c r="T26" s="17">
        <f t="shared" si="10"/>
        <v>38544</v>
      </c>
      <c r="U26" s="17">
        <f t="shared" si="11"/>
        <v>51392</v>
      </c>
      <c r="V26" s="17"/>
      <c r="W26" s="41"/>
    </row>
    <row r="27" spans="1:23" x14ac:dyDescent="0.25">
      <c r="A27" s="8">
        <v>25</v>
      </c>
      <c r="B27" s="8">
        <v>99</v>
      </c>
      <c r="C27" s="8">
        <f t="shared" si="13"/>
        <v>3.3788395904436856</v>
      </c>
      <c r="D27" s="8">
        <v>22</v>
      </c>
      <c r="E27" s="20" t="s">
        <v>25</v>
      </c>
      <c r="F27" s="16">
        <v>1400000</v>
      </c>
      <c r="G27" s="17" t="e">
        <f>#REF!-F27</f>
        <v>#REF!</v>
      </c>
      <c r="H27" s="18">
        <f t="shared" si="0"/>
        <v>31900</v>
      </c>
      <c r="I27" s="18">
        <f t="shared" si="14"/>
        <v>1425600</v>
      </c>
      <c r="J27" s="19">
        <f t="shared" si="7"/>
        <v>1457500</v>
      </c>
      <c r="K27" s="19">
        <v>1506000</v>
      </c>
      <c r="L27" s="17">
        <f t="shared" si="12"/>
        <v>52710.000000000007</v>
      </c>
      <c r="M27" s="19">
        <f t="shared" si="2"/>
        <v>13554.000000000002</v>
      </c>
      <c r="N27" s="19">
        <f t="shared" si="3"/>
        <v>1689.4197952218428</v>
      </c>
      <c r="O27" s="19">
        <f t="shared" si="4"/>
        <v>1148.3999999999999</v>
      </c>
      <c r="P27" s="6">
        <f t="shared" si="8"/>
        <v>10716.180204778158</v>
      </c>
      <c r="Q27" s="19">
        <f t="shared" si="9"/>
        <v>128594.16245733789</v>
      </c>
      <c r="R27" s="19">
        <f t="shared" si="5"/>
        <v>8.5387890077913617</v>
      </c>
      <c r="S27" s="17">
        <f t="shared" si="17"/>
        <v>14141.414141414141</v>
      </c>
      <c r="T27" s="17">
        <f t="shared" si="10"/>
        <v>43725</v>
      </c>
      <c r="U27" s="17">
        <f t="shared" si="11"/>
        <v>58300</v>
      </c>
      <c r="V27" s="17"/>
      <c r="W27" s="41"/>
    </row>
    <row r="28" spans="1:23" x14ac:dyDescent="0.25">
      <c r="A28" s="8">
        <v>26</v>
      </c>
      <c r="B28" s="8">
        <v>99</v>
      </c>
      <c r="C28" s="8">
        <f t="shared" si="13"/>
        <v>3.3788395904436856</v>
      </c>
      <c r="D28" s="8">
        <v>128.5</v>
      </c>
      <c r="E28" s="20" t="s">
        <v>25</v>
      </c>
      <c r="F28" s="16">
        <v>1560000</v>
      </c>
      <c r="G28" s="17" t="e">
        <f>#REF!-F28</f>
        <v>#REF!</v>
      </c>
      <c r="H28" s="18">
        <f t="shared" si="0"/>
        <v>186325</v>
      </c>
      <c r="I28" s="18">
        <f t="shared" si="14"/>
        <v>1425600</v>
      </c>
      <c r="J28" s="19">
        <f>H28+I28</f>
        <v>1611925</v>
      </c>
      <c r="K28" s="19">
        <f>B28*16463</f>
        <v>1629837</v>
      </c>
      <c r="L28" s="17">
        <f t="shared" si="12"/>
        <v>57044.295000000006</v>
      </c>
      <c r="M28" s="19">
        <f t="shared" si="2"/>
        <v>14668.533000000001</v>
      </c>
      <c r="N28" s="19">
        <f t="shared" si="3"/>
        <v>1689.4197952218428</v>
      </c>
      <c r="O28" s="19">
        <f t="shared" si="4"/>
        <v>1148.3999999999999</v>
      </c>
      <c r="P28" s="6">
        <f t="shared" si="8"/>
        <v>11830.713204778158</v>
      </c>
      <c r="Q28" s="19">
        <f t="shared" si="9"/>
        <v>141968.5584573379</v>
      </c>
      <c r="R28" s="19">
        <f t="shared" si="5"/>
        <v>8.7105985725773749</v>
      </c>
      <c r="S28" s="17">
        <f t="shared" si="17"/>
        <v>15757.575757575758</v>
      </c>
      <c r="T28" s="17">
        <f t="shared" si="10"/>
        <v>48357.75</v>
      </c>
      <c r="U28" s="17">
        <f t="shared" si="11"/>
        <v>64477</v>
      </c>
      <c r="V28" s="17" t="s">
        <v>34</v>
      </c>
      <c r="W28" s="41"/>
    </row>
    <row r="29" spans="1:23" x14ac:dyDescent="0.25">
      <c r="A29" s="8">
        <v>27</v>
      </c>
      <c r="B29" s="8">
        <v>99</v>
      </c>
      <c r="C29" s="8">
        <f t="shared" si="13"/>
        <v>3.3788395904436856</v>
      </c>
      <c r="D29" s="8">
        <v>75</v>
      </c>
      <c r="E29" s="20" t="s">
        <v>25</v>
      </c>
      <c r="F29" s="16">
        <v>1500000</v>
      </c>
      <c r="G29" s="17" t="e">
        <f>#REF!-F29</f>
        <v>#REF!</v>
      </c>
      <c r="H29" s="18">
        <f t="shared" si="0"/>
        <v>108750</v>
      </c>
      <c r="I29" s="18">
        <f t="shared" si="14"/>
        <v>1425600</v>
      </c>
      <c r="J29" s="19">
        <f>H29+I29+80000+80000</f>
        <v>1694350</v>
      </c>
      <c r="K29" s="19">
        <f>B29*15706</f>
        <v>1554894</v>
      </c>
      <c r="L29" s="17">
        <f t="shared" si="12"/>
        <v>54421.290000000008</v>
      </c>
      <c r="M29" s="19">
        <f t="shared" si="2"/>
        <v>13994.046000000002</v>
      </c>
      <c r="N29" s="19">
        <f t="shared" si="3"/>
        <v>1689.4197952218428</v>
      </c>
      <c r="O29" s="19">
        <f t="shared" si="4"/>
        <v>1148.3999999999999</v>
      </c>
      <c r="P29" s="6">
        <f t="shared" si="8"/>
        <v>11156.226204778161</v>
      </c>
      <c r="Q29" s="19">
        <f t="shared" si="9"/>
        <v>133874.71445733792</v>
      </c>
      <c r="R29" s="19">
        <f t="shared" si="5"/>
        <v>8.609893308311559</v>
      </c>
      <c r="S29" s="17">
        <f t="shared" si="17"/>
        <v>15151.515151515152</v>
      </c>
      <c r="T29" s="17">
        <f t="shared" si="10"/>
        <v>50830.5</v>
      </c>
      <c r="U29" s="17">
        <f t="shared" si="11"/>
        <v>67774</v>
      </c>
      <c r="V29" s="17" t="s">
        <v>34</v>
      </c>
      <c r="W29" s="41"/>
    </row>
    <row r="30" spans="1:23" x14ac:dyDescent="0.25">
      <c r="A30" s="8">
        <v>28</v>
      </c>
      <c r="B30" s="8">
        <v>99</v>
      </c>
      <c r="C30" s="8">
        <f t="shared" si="13"/>
        <v>3.3788395904436856</v>
      </c>
      <c r="D30" s="8">
        <v>75</v>
      </c>
      <c r="E30" s="20" t="s">
        <v>25</v>
      </c>
      <c r="F30" s="16">
        <v>1500000</v>
      </c>
      <c r="G30" s="17" t="e">
        <f>#REF!-F30</f>
        <v>#REF!</v>
      </c>
      <c r="H30" s="18">
        <f t="shared" si="0"/>
        <v>108750</v>
      </c>
      <c r="I30" s="18">
        <f t="shared" si="14"/>
        <v>1425600</v>
      </c>
      <c r="J30" s="19">
        <f t="shared" si="7"/>
        <v>1534350</v>
      </c>
      <c r="K30" s="19">
        <f>B30*15706</f>
        <v>1554894</v>
      </c>
      <c r="L30" s="17">
        <f t="shared" si="12"/>
        <v>54421.290000000008</v>
      </c>
      <c r="M30" s="19">
        <f t="shared" si="2"/>
        <v>13994.046000000002</v>
      </c>
      <c r="N30" s="19">
        <f t="shared" si="3"/>
        <v>1689.4197952218428</v>
      </c>
      <c r="O30" s="19">
        <f t="shared" si="4"/>
        <v>1148.3999999999999</v>
      </c>
      <c r="P30" s="6">
        <f t="shared" si="8"/>
        <v>11156.226204778161</v>
      </c>
      <c r="Q30" s="19">
        <f t="shared" si="9"/>
        <v>133874.71445733792</v>
      </c>
      <c r="R30" s="19">
        <f t="shared" si="5"/>
        <v>8.609893308311559</v>
      </c>
      <c r="S30" s="17">
        <f t="shared" si="17"/>
        <v>15151.515151515152</v>
      </c>
      <c r="T30" s="17">
        <f t="shared" si="10"/>
        <v>46030.5</v>
      </c>
      <c r="U30" s="17">
        <f t="shared" si="11"/>
        <v>61374</v>
      </c>
      <c r="V30" s="17"/>
      <c r="W30" s="41"/>
    </row>
    <row r="31" spans="1:23" x14ac:dyDescent="0.25">
      <c r="A31" s="8">
        <v>29</v>
      </c>
      <c r="B31" s="8">
        <v>99</v>
      </c>
      <c r="C31" s="8">
        <f t="shared" si="13"/>
        <v>3.3788395904436856</v>
      </c>
      <c r="D31" s="8">
        <v>75</v>
      </c>
      <c r="E31" s="20" t="s">
        <v>25</v>
      </c>
      <c r="F31" s="16">
        <v>1500000</v>
      </c>
      <c r="G31" s="17" t="e">
        <f>#REF!-F31</f>
        <v>#REF!</v>
      </c>
      <c r="H31" s="18">
        <f t="shared" si="0"/>
        <v>108750</v>
      </c>
      <c r="I31" s="18">
        <f t="shared" si="14"/>
        <v>1425600</v>
      </c>
      <c r="J31" s="19">
        <f t="shared" si="7"/>
        <v>1534350</v>
      </c>
      <c r="K31" s="19">
        <f>B31*15706</f>
        <v>1554894</v>
      </c>
      <c r="L31" s="17">
        <f t="shared" si="12"/>
        <v>54421.290000000008</v>
      </c>
      <c r="M31" s="19">
        <f t="shared" si="2"/>
        <v>13994.046000000002</v>
      </c>
      <c r="N31" s="19">
        <f t="shared" si="3"/>
        <v>1689.4197952218428</v>
      </c>
      <c r="O31" s="19">
        <f t="shared" si="4"/>
        <v>1148.3999999999999</v>
      </c>
      <c r="P31" s="6">
        <f t="shared" si="8"/>
        <v>11156.226204778161</v>
      </c>
      <c r="Q31" s="19">
        <f t="shared" si="9"/>
        <v>133874.71445733792</v>
      </c>
      <c r="R31" s="19">
        <f t="shared" si="5"/>
        <v>8.609893308311559</v>
      </c>
      <c r="S31" s="17">
        <f t="shared" si="17"/>
        <v>15151.515151515152</v>
      </c>
      <c r="T31" s="17">
        <f t="shared" si="10"/>
        <v>46030.5</v>
      </c>
      <c r="U31" s="17">
        <f t="shared" si="11"/>
        <v>61374</v>
      </c>
      <c r="V31" s="17" t="s">
        <v>34</v>
      </c>
      <c r="W31" s="41"/>
    </row>
    <row r="32" spans="1:23" x14ac:dyDescent="0.25">
      <c r="A32" s="8">
        <v>30</v>
      </c>
      <c r="B32" s="8">
        <v>99</v>
      </c>
      <c r="C32" s="8">
        <f t="shared" si="13"/>
        <v>3.3788395904436856</v>
      </c>
      <c r="D32" s="8">
        <v>75</v>
      </c>
      <c r="E32" s="20" t="s">
        <v>25</v>
      </c>
      <c r="F32" s="16">
        <v>1500000</v>
      </c>
      <c r="G32" s="17" t="e">
        <f>#REF!-F32</f>
        <v>#REF!</v>
      </c>
      <c r="H32" s="18">
        <f t="shared" si="0"/>
        <v>108750</v>
      </c>
      <c r="I32" s="18">
        <f t="shared" si="14"/>
        <v>1425600</v>
      </c>
      <c r="J32" s="19">
        <f t="shared" si="7"/>
        <v>1534350</v>
      </c>
      <c r="K32" s="19">
        <f>B32*15706</f>
        <v>1554894</v>
      </c>
      <c r="L32" s="17">
        <f t="shared" si="12"/>
        <v>54421.290000000008</v>
      </c>
      <c r="M32" s="19">
        <f t="shared" si="2"/>
        <v>13994.046000000002</v>
      </c>
      <c r="N32" s="19">
        <f t="shared" si="3"/>
        <v>1689.4197952218428</v>
      </c>
      <c r="O32" s="19">
        <f t="shared" si="4"/>
        <v>1148.3999999999999</v>
      </c>
      <c r="P32" s="6">
        <f t="shared" si="8"/>
        <v>11156.226204778161</v>
      </c>
      <c r="Q32" s="19">
        <f t="shared" si="9"/>
        <v>133874.71445733792</v>
      </c>
      <c r="R32" s="19">
        <f t="shared" si="5"/>
        <v>8.609893308311559</v>
      </c>
      <c r="S32" s="17">
        <f t="shared" si="17"/>
        <v>15151.515151515152</v>
      </c>
      <c r="T32" s="17">
        <f t="shared" si="10"/>
        <v>46030.5</v>
      </c>
      <c r="U32" s="17">
        <f t="shared" si="11"/>
        <v>61374</v>
      </c>
      <c r="V32" s="17"/>
      <c r="W32" s="41"/>
    </row>
    <row r="33" spans="1:23" x14ac:dyDescent="0.25">
      <c r="A33" s="8">
        <v>31</v>
      </c>
      <c r="B33" s="8">
        <v>99</v>
      </c>
      <c r="C33" s="8">
        <f t="shared" si="13"/>
        <v>3.3788395904436856</v>
      </c>
      <c r="D33" s="8">
        <v>152</v>
      </c>
      <c r="E33" s="20" t="s">
        <v>25</v>
      </c>
      <c r="F33" s="16">
        <v>1700000</v>
      </c>
      <c r="G33" s="17" t="e">
        <f>#REF!-F33</f>
        <v>#REF!</v>
      </c>
      <c r="H33" s="18">
        <f t="shared" si="0"/>
        <v>220400</v>
      </c>
      <c r="I33" s="18">
        <f t="shared" ref="I33" si="18">B33*14500</f>
        <v>1435500</v>
      </c>
      <c r="J33" s="23">
        <f>H33+I33</f>
        <v>1655900</v>
      </c>
      <c r="K33" s="23">
        <f>B33*16463</f>
        <v>1629837</v>
      </c>
      <c r="L33" s="17">
        <f t="shared" si="12"/>
        <v>57044.295000000006</v>
      </c>
      <c r="M33" s="23">
        <f t="shared" si="2"/>
        <v>14668.533000000001</v>
      </c>
      <c r="N33" s="24">
        <f t="shared" si="3"/>
        <v>1689.4197952218428</v>
      </c>
      <c r="O33" s="24">
        <f t="shared" si="4"/>
        <v>1148.3999999999999</v>
      </c>
      <c r="P33" s="23">
        <f t="shared" si="8"/>
        <v>11830.713204778158</v>
      </c>
      <c r="Q33" s="23">
        <f t="shared" si="9"/>
        <v>141968.5584573379</v>
      </c>
      <c r="R33" s="24">
        <f t="shared" si="5"/>
        <v>8.7105985725773749</v>
      </c>
      <c r="S33" s="17">
        <f t="shared" si="17"/>
        <v>17171.717171717173</v>
      </c>
      <c r="T33" s="17">
        <f t="shared" si="10"/>
        <v>49677</v>
      </c>
      <c r="U33" s="17">
        <f t="shared" si="11"/>
        <v>66236</v>
      </c>
      <c r="V33" s="17" t="s">
        <v>34</v>
      </c>
      <c r="W33" s="44"/>
    </row>
    <row r="34" spans="1:23" x14ac:dyDescent="0.25">
      <c r="J34" s="27"/>
      <c r="K34" s="27"/>
      <c r="L34" s="17">
        <f t="shared" si="12"/>
        <v>0</v>
      </c>
      <c r="M34" s="27">
        <f>SUM(M3:M33)</f>
        <v>400550.74199999991</v>
      </c>
      <c r="N34" s="27">
        <f>SUM(N3:N33)</f>
        <v>50000.836177474426</v>
      </c>
      <c r="O34" s="27">
        <f>SUM(O3:O33)</f>
        <v>33988</v>
      </c>
      <c r="P34" s="27">
        <f>SUM(P3:P33)</f>
        <v>316561.90582252573</v>
      </c>
      <c r="Q34" s="27">
        <f>SUM(Q3:Q33)</f>
        <v>3798742.8698703069</v>
      </c>
      <c r="R34" s="27">
        <f>Q34/K36*100</f>
        <v>8.5354194222995012</v>
      </c>
      <c r="T34" s="17">
        <f t="shared" si="10"/>
        <v>0</v>
      </c>
      <c r="U34" s="17">
        <f t="shared" si="11"/>
        <v>0</v>
      </c>
      <c r="V34" s="42"/>
    </row>
    <row r="35" spans="1:23" x14ac:dyDescent="0.25">
      <c r="B35">
        <f>SUM(B3:B34)</f>
        <v>2930</v>
      </c>
      <c r="F35" s="25">
        <f>SUM(F3:F34)</f>
        <v>41870000</v>
      </c>
      <c r="G35" s="26" t="e">
        <f>SUM(G3:G34)</f>
        <v>#REF!</v>
      </c>
      <c r="J35" s="27">
        <f>SUM(J3:J34)</f>
        <v>43454600</v>
      </c>
      <c r="K35" s="27"/>
      <c r="L35" s="17">
        <f t="shared" si="12"/>
        <v>0</v>
      </c>
      <c r="M35" s="27"/>
      <c r="N35" s="27"/>
      <c r="O35" s="27"/>
      <c r="P35" s="27"/>
      <c r="Q35" s="27"/>
      <c r="R35" s="27"/>
      <c r="T35" s="17">
        <f t="shared" si="10"/>
        <v>1303638</v>
      </c>
      <c r="U35" s="17">
        <f t="shared" si="11"/>
        <v>1738184</v>
      </c>
      <c r="V35" s="42"/>
    </row>
    <row r="36" spans="1:23" x14ac:dyDescent="0.25">
      <c r="F36" s="26">
        <v>1465450</v>
      </c>
      <c r="I36" s="28" t="s">
        <v>9</v>
      </c>
      <c r="J36" s="29"/>
      <c r="K36" s="30">
        <f>SUM(K3:K35)</f>
        <v>44505638</v>
      </c>
      <c r="M36" s="30">
        <f>M34*12</f>
        <v>4806608.9039999992</v>
      </c>
      <c r="N36" s="30">
        <f>N34*12</f>
        <v>600010.03412969317</v>
      </c>
      <c r="O36" s="30">
        <f>O34*12</f>
        <v>407856</v>
      </c>
      <c r="P36" s="30">
        <f>P34*12</f>
        <v>3798742.8698703088</v>
      </c>
      <c r="Q36" s="30"/>
    </row>
    <row r="37" spans="1:23" x14ac:dyDescent="0.25">
      <c r="F37" s="25">
        <f>F35-F36</f>
        <v>40404550</v>
      </c>
      <c r="I37" s="28" t="s">
        <v>28</v>
      </c>
      <c r="J37" s="29">
        <v>0.05</v>
      </c>
      <c r="K37" s="30"/>
      <c r="M37" s="30"/>
      <c r="N37" s="30"/>
      <c r="O37" s="30"/>
      <c r="P37" s="30"/>
      <c r="Q37" s="30"/>
      <c r="T37" s="26">
        <f>J35-T35</f>
        <v>42150962</v>
      </c>
      <c r="U37" s="26">
        <f>J35-U35</f>
        <v>41716416</v>
      </c>
    </row>
    <row r="38" spans="1:23" x14ac:dyDescent="0.25">
      <c r="I38" s="28"/>
      <c r="J38" s="29"/>
      <c r="K38" s="27"/>
      <c r="M38" s="27"/>
      <c r="N38" s="27"/>
      <c r="O38" s="27"/>
      <c r="P38" s="27"/>
      <c r="Q38" s="27"/>
    </row>
    <row r="40" spans="1:23" x14ac:dyDescent="0.25">
      <c r="A40" s="31" t="s">
        <v>4</v>
      </c>
      <c r="B40" s="32"/>
      <c r="C40" s="32"/>
      <c r="D40" s="32"/>
      <c r="E40" s="33"/>
      <c r="F40" s="32"/>
      <c r="G40" s="32"/>
      <c r="H40" s="32"/>
      <c r="I40" s="32"/>
      <c r="J40" s="33"/>
      <c r="L40" s="32"/>
    </row>
    <row r="41" spans="1:23" x14ac:dyDescent="0.25">
      <c r="A41" s="34" t="s">
        <v>25</v>
      </c>
      <c r="B41" s="9" t="s">
        <v>29</v>
      </c>
      <c r="C41" s="35"/>
      <c r="D41" s="35"/>
      <c r="E41" s="16"/>
      <c r="F41" s="17"/>
      <c r="G41" s="17"/>
      <c r="H41" s="17"/>
      <c r="I41" s="16"/>
      <c r="J41" s="16"/>
      <c r="L41" s="17"/>
    </row>
    <row r="42" spans="1:23" x14ac:dyDescent="0.25">
      <c r="A42" s="36" t="s">
        <v>24</v>
      </c>
      <c r="B42" s="8" t="s">
        <v>30</v>
      </c>
      <c r="C42" s="35"/>
      <c r="D42" s="35"/>
      <c r="E42" s="16"/>
      <c r="F42" s="17"/>
      <c r="G42" s="17"/>
      <c r="H42" s="17"/>
      <c r="I42" s="16"/>
      <c r="J42" s="16"/>
      <c r="L42" s="17"/>
    </row>
    <row r="43" spans="1:23" x14ac:dyDescent="0.25">
      <c r="A43" s="37" t="s">
        <v>27</v>
      </c>
      <c r="B43" s="8" t="s">
        <v>31</v>
      </c>
      <c r="C43" s="38"/>
      <c r="D43" s="38"/>
      <c r="E43" s="16"/>
      <c r="F43" s="17"/>
      <c r="G43" s="17"/>
      <c r="H43" s="17"/>
      <c r="I43" s="16"/>
      <c r="J43" s="16"/>
      <c r="L43" s="17"/>
    </row>
    <row r="44" spans="1:23" x14ac:dyDescent="0.25">
      <c r="A44" s="39" t="s">
        <v>26</v>
      </c>
      <c r="B44" s="8" t="s">
        <v>32</v>
      </c>
      <c r="C44" s="8"/>
      <c r="D44" s="8"/>
      <c r="E44" s="16"/>
      <c r="F44" s="17"/>
      <c r="G44" s="17"/>
      <c r="H44" s="17"/>
      <c r="I44" s="16"/>
      <c r="J44" s="16"/>
      <c r="L44" s="17"/>
    </row>
  </sheetData>
  <pageMargins left="0.7" right="0.7" top="0.75" bottom="0.75" header="0.3" footer="0.3"/>
  <pageSetup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75FB1-3C4D-49E2-B1BE-AC9596AC73D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D21CCD9F128F4DA9557B43C5E19262" ma:contentTypeVersion="16" ma:contentTypeDescription="Create a new document." ma:contentTypeScope="" ma:versionID="7a6b57321224b147d0fb22c8d9071267">
  <xsd:schema xmlns:xsd="http://www.w3.org/2001/XMLSchema" xmlns:xs="http://www.w3.org/2001/XMLSchema" xmlns:p="http://schemas.microsoft.com/office/2006/metadata/properties" xmlns:ns2="40fbccfe-4ee1-4d62-b8a1-2f1a3bdf88f6" xmlns:ns3="36605a58-d257-4cd9-97aa-316888bd3f14" targetNamespace="http://schemas.microsoft.com/office/2006/metadata/properties" ma:root="true" ma:fieldsID="3592df066c05e9292d2f62506a7f8356" ns2:_="" ns3:_="">
    <xsd:import namespace="40fbccfe-4ee1-4d62-b8a1-2f1a3bdf88f6"/>
    <xsd:import namespace="36605a58-d257-4cd9-97aa-316888bd3f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bccfe-4ee1-4d62-b8a1-2f1a3bdf88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c0ec73d-818d-417b-8eda-c1b30ed6f0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605a58-d257-4cd9-97aa-316888bd3f1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a99ddf7b-1cd1-4d8b-afe0-df9003de9dd8}" ma:internalName="TaxCatchAll" ma:showField="CatchAllData" ma:web="36605a58-d257-4cd9-97aa-316888bd3f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605a58-d257-4cd9-97aa-316888bd3f14" xsi:nil="true"/>
    <lcf76f155ced4ddcb4097134ff3c332f xmlns="40fbccfe-4ee1-4d62-b8a1-2f1a3bdf88f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EEFDBB2-27C6-4B19-BBC3-9AAF2A1D62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4F825E-B36C-4B04-B6C8-DAAEEDC9FA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fbccfe-4ee1-4d62-b8a1-2f1a3bdf88f6"/>
    <ds:schemaRef ds:uri="36605a58-d257-4cd9-97aa-316888bd3f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40A70B-2683-410C-971C-B3800FD3E272}">
  <ds:schemaRefs>
    <ds:schemaRef ds:uri="http://schemas.microsoft.com/office/2006/metadata/properties"/>
    <ds:schemaRef ds:uri="http://schemas.microsoft.com/office/infopath/2007/PartnerControls"/>
    <ds:schemaRef ds:uri="36605a58-d257-4cd9-97aa-316888bd3f14"/>
    <ds:schemaRef ds:uri="40fbccfe-4ee1-4d62-b8a1-2f1a3bdf88f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DEC 25_Sales Price List  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Glenda Bosch</dc:creator>
  <cp:lastModifiedBy>Glenda Bosch</cp:lastModifiedBy>
  <cp:lastPrinted>2025-10-03T08:51:54Z</cp:lastPrinted>
  <dcterms:created xsi:type="dcterms:W3CDTF">2025-07-28T15:16:40Z</dcterms:created>
  <dcterms:modified xsi:type="dcterms:W3CDTF">2025-12-09T13:23:58Z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0x010100D3D21CCD9F128F4DA9557B43C5E19262</vt:lpwstr>
  </property>
  <property fmtid="{D5CDD505-2E9C-101B-9397-08002B2CF9AE}" pid="3" name="MediaServiceImageTags">
    <vt:lpwstr/>
  </property>
</Properties>
</file>